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8001mfj\Documents\MFJ\Utdanning\Barnehage\Veileder\Veileder 2019\"/>
    </mc:Choice>
  </mc:AlternateContent>
  <bookViews>
    <workbookView xWindow="0" yWindow="0" windowWidth="19200" windowHeight="8190" tabRatio="862" activeTab="5"/>
  </bookViews>
  <sheets>
    <sheet name="Bruksanvisning" sheetId="49" r:id="rId1"/>
    <sheet name="1a. Årsmelding 1.1." sheetId="58" r:id="rId2"/>
    <sheet name="1b. Årsmelding 31.12." sheetId="61" r:id="rId3"/>
    <sheet name="2. Økonomirapport 201" sheetId="50" r:id="rId4"/>
    <sheet name="3. Økonomirapport 221" sheetId="44" r:id="rId5"/>
    <sheet name="4. Selvkost kommunen" sheetId="38" r:id="rId6"/>
    <sheet name="5. Kapitaltilskudd" sheetId="40" r:id="rId7"/>
    <sheet name="6a. Tilskudd private vår" sheetId="59" r:id="rId8"/>
    <sheet name="6b. Tilskudd private høst" sheetId="60" r:id="rId9"/>
    <sheet name="7. Økonomirapport 211" sheetId="52" r:id="rId10"/>
    <sheet name="8. Søknad om pensjonstilskudd" sheetId="62" r:id="rId11"/>
    <sheet name="Endringslogg" sheetId="63" r:id="rId12"/>
  </sheets>
  <definedNames>
    <definedName name="_xlnm._FilterDatabase" localSheetId="3" hidden="1">'2. Økonomirapport 201'!$A$1:$F$86</definedName>
    <definedName name="_xlnm._FilterDatabase" localSheetId="4" hidden="1">'3. Økonomirapport 221'!$A$1:$H$89</definedName>
    <definedName name="_xlnm.Print_Titles" localSheetId="3">'2. Økonomirapport 201'!$1:$1</definedName>
  </definedNames>
  <calcPr calcId="162913"/>
  <pivotCaches>
    <pivotCache cacheId="74" r:id="rId13"/>
    <pivotCache cacheId="75" r:id="rId14"/>
  </pivotCaches>
</workbook>
</file>

<file path=xl/calcChain.xml><?xml version="1.0" encoding="utf-8"?>
<calcChain xmlns="http://schemas.openxmlformats.org/spreadsheetml/2006/main">
  <c r="D26" i="38" l="1"/>
  <c r="D13" i="38"/>
  <c r="C6" i="62" l="1"/>
  <c r="F6" i="40"/>
  <c r="E6" i="40"/>
  <c r="D6" i="40"/>
  <c r="C6" i="40"/>
  <c r="B6" i="40"/>
  <c r="D84" i="38"/>
  <c r="H75" i="60" l="1"/>
  <c r="I75" i="60"/>
  <c r="J75" i="60"/>
  <c r="C44" i="60"/>
  <c r="C43" i="60"/>
  <c r="C36" i="60"/>
  <c r="C35" i="60"/>
  <c r="C28" i="60"/>
  <c r="C27" i="60"/>
  <c r="C20" i="60"/>
  <c r="C19" i="60"/>
  <c r="C12" i="60"/>
  <c r="C11" i="60"/>
  <c r="C4" i="60"/>
  <c r="C3" i="60"/>
  <c r="C44" i="59"/>
  <c r="C43" i="59"/>
  <c r="C36" i="59"/>
  <c r="C35" i="59"/>
  <c r="C28" i="59"/>
  <c r="C27" i="59"/>
  <c r="C20" i="59"/>
  <c r="C19" i="59"/>
  <c r="C12" i="59"/>
  <c r="C11" i="59"/>
  <c r="C4" i="59"/>
  <c r="C3" i="59"/>
  <c r="B50" i="40"/>
  <c r="B49" i="40" s="1"/>
  <c r="B48" i="40" s="1"/>
  <c r="B47" i="40" s="1"/>
  <c r="B46" i="40" s="1"/>
  <c r="B45" i="40" s="1"/>
  <c r="B44" i="40" s="1"/>
  <c r="B43" i="40" s="1"/>
  <c r="B42" i="40" s="1"/>
  <c r="B41" i="40" s="1"/>
  <c r="B40" i="40" s="1"/>
  <c r="B39" i="40" s="1"/>
  <c r="B38" i="40" s="1"/>
  <c r="B37" i="40" s="1"/>
  <c r="B36" i="40" s="1"/>
  <c r="B35" i="40" s="1"/>
  <c r="B34" i="40" s="1"/>
  <c r="B33" i="40" s="1"/>
  <c r="B32" i="40" s="1"/>
  <c r="B31" i="40" s="1"/>
  <c r="B30" i="40" s="1"/>
  <c r="B29" i="40" s="1"/>
  <c r="B28" i="40" s="1"/>
  <c r="B27" i="40" s="1"/>
  <c r="B26" i="40" s="1"/>
  <c r="B25" i="40" s="1"/>
  <c r="B24" i="40" s="1"/>
  <c r="B23" i="40" s="1"/>
  <c r="B22" i="40" s="1"/>
  <c r="B21" i="40" s="1"/>
  <c r="B20" i="40" s="1"/>
  <c r="B19" i="40" s="1"/>
  <c r="B18" i="40" s="1"/>
  <c r="B17" i="40" s="1"/>
  <c r="B16" i="40" s="1"/>
  <c r="B15" i="40" s="1"/>
  <c r="B14" i="40" s="1"/>
  <c r="B13" i="40" s="1"/>
  <c r="B12" i="40" s="1"/>
  <c r="B11" i="40" s="1"/>
  <c r="B3" i="40"/>
  <c r="B7" i="40" s="1"/>
  <c r="C44" i="61"/>
  <c r="C43" i="61"/>
  <c r="C36" i="61"/>
  <c r="C35" i="61"/>
  <c r="C28" i="61"/>
  <c r="C27" i="61"/>
  <c r="C20" i="61"/>
  <c r="C19" i="61"/>
  <c r="C12" i="61"/>
  <c r="C11" i="61"/>
  <c r="C3" i="61"/>
  <c r="C4" i="61"/>
  <c r="C44" i="58"/>
  <c r="C43" i="58"/>
  <c r="C36" i="58"/>
  <c r="C35" i="58"/>
  <c r="C28" i="58"/>
  <c r="C27" i="58"/>
  <c r="C20" i="58"/>
  <c r="C19" i="58"/>
  <c r="C12" i="58"/>
  <c r="C11" i="58"/>
  <c r="C4" i="58"/>
  <c r="C3" i="58"/>
  <c r="D79" i="60" l="1"/>
  <c r="D78" i="60"/>
  <c r="D39" i="38" l="1"/>
  <c r="C35" i="62" l="1"/>
  <c r="D10" i="62" l="1"/>
  <c r="E79" i="60" l="1"/>
  <c r="F79" i="60" s="1"/>
  <c r="G79" i="60" s="1"/>
  <c r="H79" i="60" s="1"/>
  <c r="I79" i="60" s="1"/>
  <c r="J79" i="60" s="1"/>
  <c r="E78" i="60"/>
  <c r="F78" i="60" s="1"/>
  <c r="G78" i="60" s="1"/>
  <c r="H78" i="60" s="1"/>
  <c r="I78" i="60" s="1"/>
  <c r="J78" i="60" s="1"/>
  <c r="K85" i="60"/>
  <c r="E80" i="59"/>
  <c r="F80" i="59" s="1"/>
  <c r="G80" i="59" s="1"/>
  <c r="H80" i="59" s="1"/>
  <c r="I80" i="59" s="1"/>
  <c r="J80" i="59" s="1"/>
  <c r="E79" i="59"/>
  <c r="F79" i="59" s="1"/>
  <c r="G79" i="59" s="1"/>
  <c r="H79" i="59" s="1"/>
  <c r="I79" i="59" s="1"/>
  <c r="J79" i="59" s="1"/>
  <c r="J86" i="50" l="1"/>
  <c r="L10" i="50"/>
  <c r="L9" i="50"/>
  <c r="L8" i="50"/>
  <c r="L7" i="50"/>
  <c r="L6" i="50"/>
  <c r="L5" i="50"/>
  <c r="L4" i="50"/>
  <c r="L3" i="50"/>
  <c r="L2" i="50"/>
  <c r="L10" i="44" l="1"/>
  <c r="D17" i="38" s="1"/>
  <c r="D4" i="38" l="1"/>
  <c r="K87" i="59"/>
  <c r="G6" i="40" l="1"/>
  <c r="H6" i="40"/>
  <c r="I6" i="40"/>
  <c r="J6" i="40"/>
  <c r="C3" i="40"/>
  <c r="C7" i="40" s="1"/>
  <c r="D3" i="40"/>
  <c r="D8" i="40" s="1"/>
  <c r="E3" i="40"/>
  <c r="E8" i="40" s="1"/>
  <c r="F3" i="40"/>
  <c r="F7" i="40" s="1"/>
  <c r="G3" i="40"/>
  <c r="G8" i="40" s="1"/>
  <c r="H3" i="40"/>
  <c r="H8" i="40" s="1"/>
  <c r="I3" i="40"/>
  <c r="I8" i="40" s="1"/>
  <c r="J3" i="40"/>
  <c r="J8" i="40" s="1"/>
  <c r="J7" i="40" l="1"/>
  <c r="I7" i="40"/>
  <c r="H7" i="40"/>
  <c r="G7" i="40"/>
  <c r="F75" i="60"/>
  <c r="F76" i="59"/>
  <c r="E75" i="60"/>
  <c r="E76" i="59"/>
  <c r="C8" i="40"/>
  <c r="E7" i="40"/>
  <c r="D7" i="40"/>
  <c r="K7" i="40" s="1"/>
  <c r="F8" i="40"/>
  <c r="K6" i="40"/>
  <c r="K5" i="40"/>
  <c r="C1" i="40"/>
  <c r="C36" i="62"/>
  <c r="C37" i="62" s="1"/>
  <c r="D20" i="62"/>
  <c r="D37" i="62" s="1"/>
  <c r="E3" i="62"/>
  <c r="C3" i="62"/>
  <c r="E41" i="62"/>
  <c r="A29" i="62" l="1"/>
  <c r="A35" i="62"/>
  <c r="E37" i="62"/>
  <c r="E43" i="62" s="1"/>
  <c r="D75" i="60"/>
  <c r="D76" i="59"/>
  <c r="G75" i="60"/>
  <c r="G76" i="59"/>
  <c r="A39" i="62"/>
  <c r="A41" i="62"/>
  <c r="A40" i="62"/>
  <c r="A26" i="62"/>
  <c r="A27" i="62"/>
  <c r="D19" i="62"/>
  <c r="B20" i="62" l="1"/>
  <c r="B19" i="62"/>
  <c r="L7" i="44"/>
  <c r="L8" i="44"/>
  <c r="D25" i="38" s="1"/>
  <c r="L9" i="44"/>
  <c r="D16" i="38" s="1"/>
  <c r="D18" i="38" s="1"/>
  <c r="D3" i="38"/>
  <c r="D5" i="38" s="1"/>
  <c r="D12" i="38"/>
  <c r="L6" i="44"/>
  <c r="D24" i="38" s="1"/>
  <c r="L5" i="44"/>
  <c r="D23" i="38" s="1"/>
  <c r="L4" i="44"/>
  <c r="D22" i="38" s="1"/>
  <c r="L3" i="44"/>
  <c r="D21" i="38" s="1"/>
  <c r="L2" i="44"/>
  <c r="D15" i="38" s="1"/>
  <c r="D8" i="38"/>
  <c r="D9" i="38"/>
  <c r="D10" i="38"/>
  <c r="D11" i="38"/>
  <c r="D2" i="38"/>
  <c r="D19" i="38" l="1"/>
  <c r="D20" i="38" s="1"/>
  <c r="D6" i="38"/>
  <c r="D7" i="38" s="1"/>
  <c r="D87" i="38"/>
  <c r="C5" i="62"/>
  <c r="C7" i="62" l="1"/>
  <c r="C8" i="62" s="1"/>
  <c r="C12" i="62"/>
  <c r="C13" i="62" s="1"/>
  <c r="C14" i="62" s="1"/>
  <c r="C49" i="61"/>
  <c r="C48" i="61"/>
  <c r="C47" i="61"/>
  <c r="C46" i="61"/>
  <c r="C45" i="61"/>
  <c r="C41" i="61"/>
  <c r="C40" i="61"/>
  <c r="C39" i="61"/>
  <c r="C38" i="61"/>
  <c r="C37" i="61"/>
  <c r="C33" i="61"/>
  <c r="C32" i="61"/>
  <c r="C31" i="61"/>
  <c r="C30" i="61"/>
  <c r="C29" i="61"/>
  <c r="C25" i="61"/>
  <c r="C24" i="61"/>
  <c r="C23" i="61"/>
  <c r="C22" i="61"/>
  <c r="C21" i="61"/>
  <c r="C17" i="61"/>
  <c r="C16" i="61"/>
  <c r="C15" i="61"/>
  <c r="C14" i="61"/>
  <c r="C13" i="61"/>
  <c r="C9" i="61"/>
  <c r="C8" i="61"/>
  <c r="C7" i="61"/>
  <c r="C6" i="61"/>
  <c r="C5" i="61"/>
  <c r="C49" i="58"/>
  <c r="C48" i="58"/>
  <c r="C47" i="58"/>
  <c r="C46" i="58"/>
  <c r="C45" i="58"/>
  <c r="C41" i="58"/>
  <c r="C40" i="58"/>
  <c r="C39" i="58"/>
  <c r="C38" i="58"/>
  <c r="C37" i="58"/>
  <c r="C33" i="58"/>
  <c r="C32" i="58"/>
  <c r="C31" i="58"/>
  <c r="C30" i="58"/>
  <c r="C29" i="58"/>
  <c r="C25" i="58"/>
  <c r="C24" i="58"/>
  <c r="C23" i="58"/>
  <c r="C22" i="58"/>
  <c r="C21" i="58"/>
  <c r="C17" i="58"/>
  <c r="C16" i="58"/>
  <c r="C15" i="58"/>
  <c r="C14" i="58"/>
  <c r="C13" i="58"/>
  <c r="C9" i="58"/>
  <c r="C8" i="58"/>
  <c r="C7" i="58"/>
  <c r="C6" i="58"/>
  <c r="C5" i="58"/>
  <c r="C49" i="60"/>
  <c r="C48" i="60"/>
  <c r="C47" i="60"/>
  <c r="C46" i="60"/>
  <c r="C45" i="60"/>
  <c r="C41" i="60"/>
  <c r="C40" i="60"/>
  <c r="C39" i="60"/>
  <c r="C38" i="60"/>
  <c r="C37" i="60"/>
  <c r="C33" i="60"/>
  <c r="C32" i="60"/>
  <c r="C31" i="60"/>
  <c r="C30" i="60"/>
  <c r="C29" i="60"/>
  <c r="C25" i="60"/>
  <c r="C24" i="60"/>
  <c r="C23" i="60"/>
  <c r="C22" i="60"/>
  <c r="C21" i="60"/>
  <c r="C17" i="60"/>
  <c r="C16" i="60"/>
  <c r="C15" i="60"/>
  <c r="C14" i="60"/>
  <c r="C13" i="60"/>
  <c r="C9" i="60"/>
  <c r="C8" i="60"/>
  <c r="C7" i="60"/>
  <c r="C6" i="60"/>
  <c r="C5" i="60"/>
  <c r="C49" i="59"/>
  <c r="C48" i="59"/>
  <c r="C47" i="59"/>
  <c r="C46" i="59"/>
  <c r="C45" i="59"/>
  <c r="C41" i="59"/>
  <c r="C40" i="59"/>
  <c r="C39" i="59"/>
  <c r="C38" i="59"/>
  <c r="C37" i="59"/>
  <c r="C33" i="59"/>
  <c r="C32" i="59"/>
  <c r="C31" i="59"/>
  <c r="C30" i="59"/>
  <c r="C29" i="59"/>
  <c r="C25" i="59"/>
  <c r="C24" i="59"/>
  <c r="C23" i="59"/>
  <c r="C22" i="59"/>
  <c r="C21" i="59"/>
  <c r="C17" i="59"/>
  <c r="C16" i="59"/>
  <c r="C15" i="59"/>
  <c r="C14" i="59"/>
  <c r="C13" i="59"/>
  <c r="K3" i="60"/>
  <c r="K4" i="60"/>
  <c r="K5" i="60"/>
  <c r="K6" i="60"/>
  <c r="K7" i="60"/>
  <c r="K8" i="60"/>
  <c r="K9" i="60"/>
  <c r="K10" i="60"/>
  <c r="K11" i="60"/>
  <c r="K12" i="60"/>
  <c r="K13" i="60"/>
  <c r="K14" i="60"/>
  <c r="K15" i="60"/>
  <c r="K16" i="60"/>
  <c r="K17" i="60"/>
  <c r="K18" i="60"/>
  <c r="K19" i="60"/>
  <c r="K20" i="60"/>
  <c r="K21" i="60"/>
  <c r="K22" i="60"/>
  <c r="K23" i="60"/>
  <c r="K24" i="60"/>
  <c r="K25" i="60"/>
  <c r="K26" i="60"/>
  <c r="K27" i="60"/>
  <c r="K28" i="60"/>
  <c r="K29" i="60"/>
  <c r="K30" i="60"/>
  <c r="K31" i="60"/>
  <c r="K32" i="60"/>
  <c r="K33" i="60"/>
  <c r="K34" i="60"/>
  <c r="K35" i="60"/>
  <c r="K36" i="60"/>
  <c r="K37" i="60"/>
  <c r="K38" i="60"/>
  <c r="K39" i="60"/>
  <c r="K40" i="60"/>
  <c r="K41" i="60"/>
  <c r="K42" i="60"/>
  <c r="K43" i="60"/>
  <c r="K44" i="60"/>
  <c r="K45" i="60"/>
  <c r="K46" i="60"/>
  <c r="K47" i="60"/>
  <c r="K48" i="60"/>
  <c r="K49" i="60"/>
  <c r="C42" i="60"/>
  <c r="C34" i="60"/>
  <c r="C26" i="60"/>
  <c r="C18" i="60"/>
  <c r="C10" i="60"/>
  <c r="E107" i="59"/>
  <c r="F107" i="59"/>
  <c r="G107" i="59"/>
  <c r="H107" i="59"/>
  <c r="I107" i="59"/>
  <c r="J107" i="59"/>
  <c r="D107" i="59"/>
  <c r="K42" i="59"/>
  <c r="K43" i="59"/>
  <c r="K44" i="59"/>
  <c r="K45" i="59"/>
  <c r="K46" i="59"/>
  <c r="K47" i="59"/>
  <c r="K48" i="59"/>
  <c r="K49" i="59"/>
  <c r="K25" i="59"/>
  <c r="K26" i="59"/>
  <c r="K27" i="59"/>
  <c r="K28" i="59"/>
  <c r="K29" i="59"/>
  <c r="K30" i="59"/>
  <c r="K31" i="59"/>
  <c r="K32" i="59"/>
  <c r="K33" i="59"/>
  <c r="K34" i="59"/>
  <c r="K35" i="59"/>
  <c r="K36" i="59"/>
  <c r="K37" i="59"/>
  <c r="K38" i="59"/>
  <c r="K39" i="59"/>
  <c r="K40" i="59"/>
  <c r="K41" i="59"/>
  <c r="K3" i="59"/>
  <c r="K4" i="59"/>
  <c r="K5" i="59"/>
  <c r="K6" i="59"/>
  <c r="K7" i="59"/>
  <c r="K8" i="59"/>
  <c r="K9" i="59"/>
  <c r="K10" i="59"/>
  <c r="K11" i="59"/>
  <c r="K12" i="59"/>
  <c r="K13" i="59"/>
  <c r="K14" i="59"/>
  <c r="K15" i="59"/>
  <c r="K16" i="59"/>
  <c r="K17" i="59"/>
  <c r="K18" i="59"/>
  <c r="K19" i="59"/>
  <c r="K20" i="59"/>
  <c r="K21" i="59"/>
  <c r="K22" i="59"/>
  <c r="K23" i="59"/>
  <c r="K24" i="59"/>
  <c r="C42" i="59"/>
  <c r="C34" i="59"/>
  <c r="C26" i="59"/>
  <c r="C18" i="59"/>
  <c r="C10" i="59"/>
  <c r="C9" i="59"/>
  <c r="C8" i="59"/>
  <c r="C7" i="59"/>
  <c r="C6" i="59"/>
  <c r="C5" i="59"/>
  <c r="K76" i="58"/>
  <c r="K77" i="58"/>
  <c r="K78" i="58"/>
  <c r="K3" i="61"/>
  <c r="K4" i="61"/>
  <c r="K5" i="61"/>
  <c r="K6" i="61"/>
  <c r="K7" i="61"/>
  <c r="K8" i="61"/>
  <c r="K9" i="61"/>
  <c r="K10" i="61"/>
  <c r="K11" i="61"/>
  <c r="K12" i="61"/>
  <c r="K13" i="61"/>
  <c r="K14" i="61"/>
  <c r="K15" i="61"/>
  <c r="K16" i="61"/>
  <c r="K17" i="61"/>
  <c r="K18" i="61"/>
  <c r="K19" i="61"/>
  <c r="K20" i="61"/>
  <c r="K21" i="61"/>
  <c r="K22" i="61"/>
  <c r="K23" i="61"/>
  <c r="K24" i="61"/>
  <c r="K25" i="61"/>
  <c r="K26" i="61"/>
  <c r="K27" i="61"/>
  <c r="K28" i="61"/>
  <c r="K29" i="61"/>
  <c r="K30" i="61"/>
  <c r="K31" i="61"/>
  <c r="K32" i="61"/>
  <c r="K33" i="61"/>
  <c r="K34" i="61"/>
  <c r="K35" i="61"/>
  <c r="K36" i="61"/>
  <c r="K37" i="61"/>
  <c r="K38" i="61"/>
  <c r="K39" i="61"/>
  <c r="K40" i="61"/>
  <c r="K41" i="61"/>
  <c r="K42" i="61"/>
  <c r="K43" i="61"/>
  <c r="K44" i="61"/>
  <c r="K45" i="61"/>
  <c r="K46" i="61"/>
  <c r="K47" i="61"/>
  <c r="K48" i="61"/>
  <c r="K49" i="61"/>
  <c r="K77" i="61"/>
  <c r="K78" i="61"/>
  <c r="K76" i="61"/>
  <c r="J73" i="61"/>
  <c r="I73" i="61"/>
  <c r="H73" i="61"/>
  <c r="G73" i="61"/>
  <c r="F73" i="61"/>
  <c r="E73" i="61"/>
  <c r="D73" i="61"/>
  <c r="E73" i="58"/>
  <c r="F73" i="58"/>
  <c r="G73" i="58"/>
  <c r="H73" i="58"/>
  <c r="I73" i="58"/>
  <c r="J73" i="58"/>
  <c r="D73" i="58"/>
  <c r="C42" i="58"/>
  <c r="C34" i="58"/>
  <c r="C26" i="58"/>
  <c r="C18" i="58"/>
  <c r="C10" i="58"/>
  <c r="C10" i="61"/>
  <c r="C18" i="61" s="1"/>
  <c r="C26" i="61" s="1"/>
  <c r="C34" i="61" s="1"/>
  <c r="C42" i="61" s="1"/>
  <c r="D90" i="38"/>
  <c r="E72" i="60"/>
  <c r="F72" i="60"/>
  <c r="G72" i="60"/>
  <c r="H72" i="60"/>
  <c r="I72" i="60"/>
  <c r="J72" i="60"/>
  <c r="K72" i="60"/>
  <c r="D72" i="60"/>
  <c r="E73" i="59"/>
  <c r="F73" i="59"/>
  <c r="G73" i="59"/>
  <c r="H73" i="59"/>
  <c r="I73" i="59"/>
  <c r="J73" i="59"/>
  <c r="K73" i="59"/>
  <c r="D73" i="59"/>
  <c r="E51" i="59"/>
  <c r="F51" i="59"/>
  <c r="G51" i="59"/>
  <c r="H51" i="59"/>
  <c r="I51" i="59"/>
  <c r="J51" i="59"/>
  <c r="K51" i="59"/>
  <c r="D51" i="59"/>
  <c r="E51" i="61"/>
  <c r="F51" i="61"/>
  <c r="G51" i="61"/>
  <c r="H51" i="61"/>
  <c r="I51" i="61"/>
  <c r="J51" i="61"/>
  <c r="K51" i="61"/>
  <c r="D51" i="61"/>
  <c r="E51" i="58"/>
  <c r="F51" i="58"/>
  <c r="G51" i="58"/>
  <c r="H51" i="58"/>
  <c r="I51" i="58"/>
  <c r="J51" i="58"/>
  <c r="K51" i="58"/>
  <c r="D51" i="58"/>
  <c r="K5" i="58"/>
  <c r="K6" i="58"/>
  <c r="K7" i="58"/>
  <c r="K8" i="58"/>
  <c r="K9" i="58"/>
  <c r="K10" i="58"/>
  <c r="K11" i="58"/>
  <c r="K13" i="58"/>
  <c r="K14" i="58"/>
  <c r="K15" i="58"/>
  <c r="K16" i="58"/>
  <c r="K17" i="58"/>
  <c r="K18" i="58"/>
  <c r="K19" i="58"/>
  <c r="K21" i="58"/>
  <c r="K22" i="58"/>
  <c r="K23" i="58"/>
  <c r="K24" i="58"/>
  <c r="K25" i="58"/>
  <c r="K26" i="58"/>
  <c r="K27" i="58"/>
  <c r="K29" i="58"/>
  <c r="K30" i="58"/>
  <c r="K31" i="58"/>
  <c r="K32" i="58"/>
  <c r="K33" i="58"/>
  <c r="K34" i="58"/>
  <c r="K35" i="58"/>
  <c r="K37" i="58"/>
  <c r="K38" i="58"/>
  <c r="K39" i="58"/>
  <c r="K40" i="58"/>
  <c r="K41" i="58"/>
  <c r="K42" i="58"/>
  <c r="K43" i="58"/>
  <c r="K45" i="58"/>
  <c r="K46" i="58"/>
  <c r="K47" i="58"/>
  <c r="K48" i="58"/>
  <c r="K49" i="58"/>
  <c r="J80" i="61"/>
  <c r="I80" i="61"/>
  <c r="H80" i="61"/>
  <c r="G80" i="61"/>
  <c r="F80" i="61"/>
  <c r="E80" i="61"/>
  <c r="D80" i="61"/>
  <c r="K79" i="61"/>
  <c r="K75" i="61"/>
  <c r="J64" i="61"/>
  <c r="I64" i="61"/>
  <c r="H64" i="61"/>
  <c r="G64" i="61"/>
  <c r="F64" i="61"/>
  <c r="E64" i="61"/>
  <c r="D64" i="61"/>
  <c r="C64" i="61"/>
  <c r="J63" i="61"/>
  <c r="I63" i="61"/>
  <c r="H63" i="61"/>
  <c r="G63" i="61"/>
  <c r="F63" i="61"/>
  <c r="E63" i="61"/>
  <c r="D63" i="61"/>
  <c r="C63" i="61"/>
  <c r="J62" i="61"/>
  <c r="I62" i="61"/>
  <c r="H62" i="61"/>
  <c r="G62" i="61"/>
  <c r="F62" i="61"/>
  <c r="E62" i="61"/>
  <c r="D62" i="61"/>
  <c r="C62" i="61"/>
  <c r="J61" i="61"/>
  <c r="I61" i="61"/>
  <c r="H61" i="61"/>
  <c r="G61" i="61"/>
  <c r="F61" i="61"/>
  <c r="E61" i="61"/>
  <c r="D61" i="61"/>
  <c r="C61" i="61"/>
  <c r="J60" i="61"/>
  <c r="I60" i="61"/>
  <c r="H60" i="61"/>
  <c r="G60" i="61"/>
  <c r="F60" i="61"/>
  <c r="E60" i="61"/>
  <c r="D60" i="61"/>
  <c r="C60" i="61"/>
  <c r="J59" i="61"/>
  <c r="J66" i="61" s="1"/>
  <c r="I59" i="61"/>
  <c r="I66" i="61" s="1"/>
  <c r="H59" i="61"/>
  <c r="H66" i="61" s="1"/>
  <c r="G59" i="61"/>
  <c r="G66" i="61" s="1"/>
  <c r="F59" i="61"/>
  <c r="E59" i="61"/>
  <c r="E66" i="61" s="1"/>
  <c r="D59" i="61"/>
  <c r="D66" i="61" s="1"/>
  <c r="C59" i="61"/>
  <c r="E70" i="61" s="1"/>
  <c r="J57" i="61"/>
  <c r="I57" i="61"/>
  <c r="H57" i="61"/>
  <c r="G57" i="61"/>
  <c r="F57" i="61"/>
  <c r="E57" i="61"/>
  <c r="D57" i="61"/>
  <c r="C57" i="61"/>
  <c r="J56" i="61"/>
  <c r="I56" i="61"/>
  <c r="H56" i="61"/>
  <c r="G56" i="61"/>
  <c r="F56" i="61"/>
  <c r="E56" i="61"/>
  <c r="D56" i="61"/>
  <c r="C56" i="61"/>
  <c r="J55" i="61"/>
  <c r="I55" i="61"/>
  <c r="H55" i="61"/>
  <c r="G55" i="61"/>
  <c r="F55" i="61"/>
  <c r="E55" i="61"/>
  <c r="D55" i="61"/>
  <c r="C55" i="61"/>
  <c r="J54" i="61"/>
  <c r="I54" i="61"/>
  <c r="H54" i="61"/>
  <c r="G54" i="61"/>
  <c r="F54" i="61"/>
  <c r="E54" i="61"/>
  <c r="D54" i="61"/>
  <c r="C54" i="61"/>
  <c r="J53" i="61"/>
  <c r="I53" i="61"/>
  <c r="H53" i="61"/>
  <c r="G53" i="61"/>
  <c r="F53" i="61"/>
  <c r="E53" i="61"/>
  <c r="D53" i="61"/>
  <c r="C53" i="61"/>
  <c r="J52" i="61"/>
  <c r="J65" i="61" s="1"/>
  <c r="J67" i="61" s="1"/>
  <c r="I52" i="61"/>
  <c r="I65" i="61" s="1"/>
  <c r="I67" i="61" s="1"/>
  <c r="H52" i="61"/>
  <c r="H65" i="61" s="1"/>
  <c r="H67" i="61" s="1"/>
  <c r="G52" i="61"/>
  <c r="G65" i="61" s="1"/>
  <c r="G67" i="61" s="1"/>
  <c r="F52" i="61"/>
  <c r="F65" i="61" s="1"/>
  <c r="E52" i="61"/>
  <c r="E65" i="61" s="1"/>
  <c r="E67" i="61" s="1"/>
  <c r="D52" i="61"/>
  <c r="D65" i="61" s="1"/>
  <c r="C52" i="61"/>
  <c r="I69" i="61" s="1"/>
  <c r="J50" i="61"/>
  <c r="I50" i="61"/>
  <c r="H50" i="61"/>
  <c r="G50" i="61"/>
  <c r="F50" i="61"/>
  <c r="E50" i="61"/>
  <c r="D50" i="61"/>
  <c r="K2" i="61"/>
  <c r="K86" i="60"/>
  <c r="J64" i="60"/>
  <c r="I64" i="60"/>
  <c r="H64" i="60"/>
  <c r="G64" i="60"/>
  <c r="F64" i="60"/>
  <c r="E64" i="60"/>
  <c r="D64" i="60"/>
  <c r="C64" i="60"/>
  <c r="J63" i="60"/>
  <c r="I63" i="60"/>
  <c r="H63" i="60"/>
  <c r="G63" i="60"/>
  <c r="F63" i="60"/>
  <c r="E63" i="60"/>
  <c r="D63" i="60"/>
  <c r="C63" i="60"/>
  <c r="J62" i="60"/>
  <c r="I62" i="60"/>
  <c r="H62" i="60"/>
  <c r="G62" i="60"/>
  <c r="F62" i="60"/>
  <c r="E62" i="60"/>
  <c r="D62" i="60"/>
  <c r="C62" i="60"/>
  <c r="J61" i="60"/>
  <c r="I61" i="60"/>
  <c r="H61" i="60"/>
  <c r="G61" i="60"/>
  <c r="F61" i="60"/>
  <c r="E61" i="60"/>
  <c r="D61" i="60"/>
  <c r="C61" i="60"/>
  <c r="J60" i="60"/>
  <c r="I60" i="60"/>
  <c r="H60" i="60"/>
  <c r="G60" i="60"/>
  <c r="F60" i="60"/>
  <c r="E60" i="60"/>
  <c r="D60" i="60"/>
  <c r="C60" i="60"/>
  <c r="J59" i="60"/>
  <c r="I59" i="60"/>
  <c r="I66" i="60" s="1"/>
  <c r="H59" i="60"/>
  <c r="G59" i="60"/>
  <c r="G66" i="60" s="1"/>
  <c r="F59" i="60"/>
  <c r="E59" i="60"/>
  <c r="E66" i="60" s="1"/>
  <c r="D59" i="60"/>
  <c r="D66" i="60" s="1"/>
  <c r="C59" i="60"/>
  <c r="J57" i="60"/>
  <c r="I57" i="60"/>
  <c r="H57" i="60"/>
  <c r="G57" i="60"/>
  <c r="F57" i="60"/>
  <c r="E57" i="60"/>
  <c r="D57" i="60"/>
  <c r="C57" i="60"/>
  <c r="J56" i="60"/>
  <c r="I56" i="60"/>
  <c r="H56" i="60"/>
  <c r="G56" i="60"/>
  <c r="F56" i="60"/>
  <c r="E56" i="60"/>
  <c r="D56" i="60"/>
  <c r="C56" i="60"/>
  <c r="J55" i="60"/>
  <c r="I55" i="60"/>
  <c r="H55" i="60"/>
  <c r="G55" i="60"/>
  <c r="F55" i="60"/>
  <c r="E55" i="60"/>
  <c r="D55" i="60"/>
  <c r="C55" i="60"/>
  <c r="J54" i="60"/>
  <c r="I54" i="60"/>
  <c r="H54" i="60"/>
  <c r="G54" i="60"/>
  <c r="F54" i="60"/>
  <c r="E54" i="60"/>
  <c r="D54" i="60"/>
  <c r="C54" i="60"/>
  <c r="J53" i="60"/>
  <c r="I53" i="60"/>
  <c r="H53" i="60"/>
  <c r="G53" i="60"/>
  <c r="F53" i="60"/>
  <c r="E53" i="60"/>
  <c r="D53" i="60"/>
  <c r="C53" i="60"/>
  <c r="J52" i="60"/>
  <c r="J65" i="60" s="1"/>
  <c r="I52" i="60"/>
  <c r="I65" i="60" s="1"/>
  <c r="I67" i="60" s="1"/>
  <c r="H52" i="60"/>
  <c r="H65" i="60" s="1"/>
  <c r="G52" i="60"/>
  <c r="F52" i="60"/>
  <c r="F65" i="60" s="1"/>
  <c r="E52" i="60"/>
  <c r="E65" i="60" s="1"/>
  <c r="E67" i="60" s="1"/>
  <c r="D52" i="60"/>
  <c r="D65" i="60" s="1"/>
  <c r="D67" i="60" s="1"/>
  <c r="C52" i="60"/>
  <c r="D69" i="60" s="1"/>
  <c r="J50" i="60"/>
  <c r="I50" i="60"/>
  <c r="H50" i="60"/>
  <c r="G50" i="60"/>
  <c r="F50" i="60"/>
  <c r="E50" i="60"/>
  <c r="D50" i="60"/>
  <c r="K2" i="60"/>
  <c r="F99" i="59"/>
  <c r="G99" i="59"/>
  <c r="H99" i="59"/>
  <c r="K86" i="59"/>
  <c r="J99" i="59"/>
  <c r="I99" i="59"/>
  <c r="E99" i="59"/>
  <c r="D99" i="59"/>
  <c r="K98" i="59"/>
  <c r="K95" i="59"/>
  <c r="K94" i="59"/>
  <c r="J64" i="59"/>
  <c r="I64" i="59"/>
  <c r="H64" i="59"/>
  <c r="G64" i="59"/>
  <c r="F64" i="59"/>
  <c r="E64" i="59"/>
  <c r="D64" i="59"/>
  <c r="C64" i="59"/>
  <c r="J63" i="59"/>
  <c r="I63" i="59"/>
  <c r="H63" i="59"/>
  <c r="G63" i="59"/>
  <c r="F63" i="59"/>
  <c r="E63" i="59"/>
  <c r="D63" i="59"/>
  <c r="C63" i="59"/>
  <c r="J62" i="59"/>
  <c r="I62" i="59"/>
  <c r="H62" i="59"/>
  <c r="G62" i="59"/>
  <c r="F62" i="59"/>
  <c r="E62" i="59"/>
  <c r="D62" i="59"/>
  <c r="C62" i="59"/>
  <c r="J61" i="59"/>
  <c r="I61" i="59"/>
  <c r="H61" i="59"/>
  <c r="G61" i="59"/>
  <c r="F61" i="59"/>
  <c r="E61" i="59"/>
  <c r="D61" i="59"/>
  <c r="C61" i="59"/>
  <c r="J60" i="59"/>
  <c r="I60" i="59"/>
  <c r="H60" i="59"/>
  <c r="G60" i="59"/>
  <c r="F60" i="59"/>
  <c r="E60" i="59"/>
  <c r="D60" i="59"/>
  <c r="C60" i="59"/>
  <c r="J59" i="59"/>
  <c r="J66" i="59" s="1"/>
  <c r="I59" i="59"/>
  <c r="I66" i="59" s="1"/>
  <c r="H59" i="59"/>
  <c r="H66" i="59" s="1"/>
  <c r="G59" i="59"/>
  <c r="G66" i="59" s="1"/>
  <c r="F59" i="59"/>
  <c r="F66" i="59" s="1"/>
  <c r="E59" i="59"/>
  <c r="D59" i="59"/>
  <c r="C59" i="59"/>
  <c r="J57" i="59"/>
  <c r="I57" i="59"/>
  <c r="H57" i="59"/>
  <c r="G57" i="59"/>
  <c r="F57" i="59"/>
  <c r="E57" i="59"/>
  <c r="D57" i="59"/>
  <c r="C57" i="59"/>
  <c r="J56" i="59"/>
  <c r="I56" i="59"/>
  <c r="H56" i="59"/>
  <c r="G56" i="59"/>
  <c r="F56" i="59"/>
  <c r="E56" i="59"/>
  <c r="D56" i="59"/>
  <c r="C56" i="59"/>
  <c r="J55" i="59"/>
  <c r="I55" i="59"/>
  <c r="H55" i="59"/>
  <c r="G55" i="59"/>
  <c r="F55" i="59"/>
  <c r="E55" i="59"/>
  <c r="D55" i="59"/>
  <c r="C55" i="59"/>
  <c r="J54" i="59"/>
  <c r="I54" i="59"/>
  <c r="H54" i="59"/>
  <c r="G54" i="59"/>
  <c r="F54" i="59"/>
  <c r="E54" i="59"/>
  <c r="D54" i="59"/>
  <c r="C54" i="59"/>
  <c r="J53" i="59"/>
  <c r="I53" i="59"/>
  <c r="H53" i="59"/>
  <c r="G53" i="59"/>
  <c r="F53" i="59"/>
  <c r="E53" i="59"/>
  <c r="D53" i="59"/>
  <c r="C53" i="59"/>
  <c r="J52" i="59"/>
  <c r="J65" i="59" s="1"/>
  <c r="I52" i="59"/>
  <c r="I65" i="59" s="1"/>
  <c r="H52" i="59"/>
  <c r="G52" i="59"/>
  <c r="F52" i="59"/>
  <c r="F65" i="59" s="1"/>
  <c r="E52" i="59"/>
  <c r="D52" i="59"/>
  <c r="D65" i="59" s="1"/>
  <c r="C52" i="59"/>
  <c r="J50" i="59"/>
  <c r="I50" i="59"/>
  <c r="H50" i="59"/>
  <c r="G50" i="59"/>
  <c r="F50" i="59"/>
  <c r="E50" i="59"/>
  <c r="D50" i="59"/>
  <c r="K2" i="59"/>
  <c r="E59" i="58"/>
  <c r="F59" i="58"/>
  <c r="G59" i="58"/>
  <c r="H59" i="58"/>
  <c r="I59" i="58"/>
  <c r="J59" i="58"/>
  <c r="E60" i="58"/>
  <c r="F60" i="58"/>
  <c r="G60" i="58"/>
  <c r="H60" i="58"/>
  <c r="I60" i="58"/>
  <c r="J60" i="58"/>
  <c r="E61" i="58"/>
  <c r="F61" i="58"/>
  <c r="G61" i="58"/>
  <c r="H61" i="58"/>
  <c r="I61" i="58"/>
  <c r="J61" i="58"/>
  <c r="E62" i="58"/>
  <c r="F62" i="58"/>
  <c r="G62" i="58"/>
  <c r="H62" i="58"/>
  <c r="I62" i="58"/>
  <c r="J62" i="58"/>
  <c r="E63" i="58"/>
  <c r="F63" i="58"/>
  <c r="G63" i="58"/>
  <c r="H63" i="58"/>
  <c r="I63" i="58"/>
  <c r="J63" i="58"/>
  <c r="E64" i="58"/>
  <c r="F64" i="58"/>
  <c r="G64" i="58"/>
  <c r="H64" i="58"/>
  <c r="I64" i="58"/>
  <c r="J64" i="58"/>
  <c r="D64" i="58"/>
  <c r="D63" i="58"/>
  <c r="D62" i="58"/>
  <c r="D61" i="58"/>
  <c r="D60" i="58"/>
  <c r="D59" i="58"/>
  <c r="E52" i="58"/>
  <c r="F52" i="58"/>
  <c r="G52" i="58"/>
  <c r="H52" i="58"/>
  <c r="I52" i="58"/>
  <c r="J52" i="58"/>
  <c r="E53" i="58"/>
  <c r="F53" i="58"/>
  <c r="G53" i="58"/>
  <c r="H53" i="58"/>
  <c r="I53" i="58"/>
  <c r="J53" i="58"/>
  <c r="E54" i="58"/>
  <c r="F54" i="58"/>
  <c r="G54" i="58"/>
  <c r="H54" i="58"/>
  <c r="I54" i="58"/>
  <c r="J54" i="58"/>
  <c r="E55" i="58"/>
  <c r="F55" i="58"/>
  <c r="G55" i="58"/>
  <c r="H55" i="58"/>
  <c r="I55" i="58"/>
  <c r="J55" i="58"/>
  <c r="E56" i="58"/>
  <c r="F56" i="58"/>
  <c r="G56" i="58"/>
  <c r="H56" i="58"/>
  <c r="I56" i="58"/>
  <c r="J56" i="58"/>
  <c r="E57" i="58"/>
  <c r="F57" i="58"/>
  <c r="G57" i="58"/>
  <c r="H57" i="58"/>
  <c r="I57" i="58"/>
  <c r="J57" i="58"/>
  <c r="D57" i="58"/>
  <c r="D56" i="58"/>
  <c r="D55" i="58"/>
  <c r="D54" i="58"/>
  <c r="D53" i="58"/>
  <c r="D52" i="58"/>
  <c r="J80" i="58"/>
  <c r="I80" i="58"/>
  <c r="H80" i="58"/>
  <c r="G80" i="58"/>
  <c r="F80" i="58"/>
  <c r="E80" i="58"/>
  <c r="D80" i="58"/>
  <c r="K79" i="58"/>
  <c r="K75" i="58"/>
  <c r="C64" i="58"/>
  <c r="C63" i="58"/>
  <c r="C62" i="58"/>
  <c r="C61" i="58"/>
  <c r="C60" i="58"/>
  <c r="C59" i="58"/>
  <c r="C57" i="58"/>
  <c r="C56" i="58"/>
  <c r="C55" i="58"/>
  <c r="C54" i="58"/>
  <c r="C53" i="58"/>
  <c r="C52" i="58"/>
  <c r="J50" i="58"/>
  <c r="I50" i="58"/>
  <c r="H50" i="58"/>
  <c r="G50" i="58"/>
  <c r="F50" i="58"/>
  <c r="E50" i="58"/>
  <c r="D50" i="58"/>
  <c r="K3" i="58"/>
  <c r="K2" i="58"/>
  <c r="D95" i="38"/>
  <c r="I70" i="59"/>
  <c r="D70" i="61"/>
  <c r="E69" i="61"/>
  <c r="K80" i="61"/>
  <c r="K54" i="60" l="1"/>
  <c r="G69" i="61"/>
  <c r="K80" i="58"/>
  <c r="F70" i="58"/>
  <c r="K62" i="58"/>
  <c r="K59" i="61"/>
  <c r="H70" i="58"/>
  <c r="K64" i="58"/>
  <c r="K60" i="58"/>
  <c r="J70" i="59"/>
  <c r="J101" i="59" s="1"/>
  <c r="E69" i="58"/>
  <c r="G69" i="58"/>
  <c r="I70" i="58"/>
  <c r="J70" i="58"/>
  <c r="K63" i="58"/>
  <c r="K57" i="61"/>
  <c r="H66" i="60"/>
  <c r="H67" i="60" s="1"/>
  <c r="F69" i="61"/>
  <c r="E71" i="61"/>
  <c r="J70" i="61"/>
  <c r="K64" i="61"/>
  <c r="K63" i="61"/>
  <c r="K56" i="61"/>
  <c r="K62" i="61"/>
  <c r="K55" i="61"/>
  <c r="K61" i="61"/>
  <c r="K54" i="61"/>
  <c r="K60" i="61"/>
  <c r="K53" i="61"/>
  <c r="K50" i="61"/>
  <c r="J69" i="61"/>
  <c r="K59" i="58"/>
  <c r="K57" i="58"/>
  <c r="K56" i="58"/>
  <c r="K55" i="60"/>
  <c r="E84" i="61"/>
  <c r="K52" i="61"/>
  <c r="E82" i="61"/>
  <c r="E85" i="61"/>
  <c r="K73" i="61"/>
  <c r="J66" i="58"/>
  <c r="F66" i="58"/>
  <c r="D65" i="58"/>
  <c r="J65" i="58"/>
  <c r="F69" i="58"/>
  <c r="H66" i="58"/>
  <c r="K61" i="58"/>
  <c r="K54" i="58"/>
  <c r="K53" i="58"/>
  <c r="C9" i="62"/>
  <c r="C10" i="62" s="1"/>
  <c r="E10" i="62" s="1"/>
  <c r="D88" i="38"/>
  <c r="D89" i="38" s="1"/>
  <c r="J69" i="59"/>
  <c r="D70" i="59"/>
  <c r="K99" i="59"/>
  <c r="K52" i="59"/>
  <c r="K54" i="59"/>
  <c r="K60" i="59"/>
  <c r="K53" i="59"/>
  <c r="K64" i="59"/>
  <c r="K57" i="59"/>
  <c r="K50" i="59"/>
  <c r="K4" i="40"/>
  <c r="G69" i="60"/>
  <c r="K57" i="60"/>
  <c r="K56" i="60"/>
  <c r="K62" i="60"/>
  <c r="K60" i="60"/>
  <c r="K53" i="60"/>
  <c r="K59" i="60"/>
  <c r="F69" i="59"/>
  <c r="K61" i="59"/>
  <c r="K59" i="59"/>
  <c r="K63" i="59"/>
  <c r="D40" i="38"/>
  <c r="D41" i="38" s="1"/>
  <c r="G65" i="60"/>
  <c r="G67" i="60" s="1"/>
  <c r="E70" i="60"/>
  <c r="H70" i="60"/>
  <c r="G70" i="60"/>
  <c r="D70" i="60"/>
  <c r="I70" i="60"/>
  <c r="D69" i="58"/>
  <c r="I65" i="58"/>
  <c r="E65" i="58"/>
  <c r="G66" i="58"/>
  <c r="E66" i="59"/>
  <c r="E70" i="59"/>
  <c r="K65" i="60"/>
  <c r="K65" i="61"/>
  <c r="D67" i="61"/>
  <c r="D69" i="61"/>
  <c r="K50" i="58"/>
  <c r="K73" i="58"/>
  <c r="K52" i="58"/>
  <c r="H69" i="58"/>
  <c r="H65" i="58"/>
  <c r="D66" i="58"/>
  <c r="F66" i="61"/>
  <c r="K66" i="61" s="1"/>
  <c r="F70" i="61"/>
  <c r="F69" i="60"/>
  <c r="I69" i="60"/>
  <c r="I71" i="60" s="1"/>
  <c r="I84" i="60" s="1"/>
  <c r="H69" i="61"/>
  <c r="E69" i="60"/>
  <c r="H70" i="59"/>
  <c r="J69" i="60"/>
  <c r="H69" i="60"/>
  <c r="I69" i="58"/>
  <c r="G65" i="58"/>
  <c r="D70" i="58"/>
  <c r="G70" i="58"/>
  <c r="I66" i="58"/>
  <c r="E66" i="58"/>
  <c r="E70" i="58"/>
  <c r="G65" i="59"/>
  <c r="G67" i="59" s="1"/>
  <c r="G69" i="59"/>
  <c r="F70" i="59"/>
  <c r="G70" i="59"/>
  <c r="F66" i="60"/>
  <c r="F67" i="60" s="1"/>
  <c r="F70" i="60"/>
  <c r="J70" i="60"/>
  <c r="J66" i="60"/>
  <c r="J67" i="60" s="1"/>
  <c r="I70" i="61"/>
  <c r="H70" i="61"/>
  <c r="K55" i="58"/>
  <c r="J69" i="58"/>
  <c r="I69" i="59"/>
  <c r="I101" i="59" s="1"/>
  <c r="G70" i="61"/>
  <c r="G84" i="61" s="1"/>
  <c r="H69" i="59"/>
  <c r="D69" i="59"/>
  <c r="F65" i="58"/>
  <c r="K55" i="59"/>
  <c r="K107" i="59"/>
  <c r="E69" i="59"/>
  <c r="I67" i="59"/>
  <c r="D66" i="59"/>
  <c r="K52" i="60"/>
  <c r="F67" i="59"/>
  <c r="J67" i="59"/>
  <c r="K62" i="59"/>
  <c r="H65" i="59"/>
  <c r="H67" i="59" s="1"/>
  <c r="E65" i="59"/>
  <c r="K56" i="59"/>
  <c r="K64" i="60"/>
  <c r="K61" i="60"/>
  <c r="K63" i="60"/>
  <c r="K50" i="60"/>
  <c r="E85" i="58" l="1"/>
  <c r="F82" i="58"/>
  <c r="J71" i="59"/>
  <c r="J85" i="59" s="1"/>
  <c r="J71" i="61"/>
  <c r="G85" i="58"/>
  <c r="D71" i="60"/>
  <c r="D84" i="60" s="1"/>
  <c r="G71" i="60"/>
  <c r="G84" i="60" s="1"/>
  <c r="K66" i="59"/>
  <c r="F101" i="59"/>
  <c r="F67" i="61"/>
  <c r="K67" i="61" s="1"/>
  <c r="J85" i="61"/>
  <c r="J82" i="61"/>
  <c r="J84" i="61"/>
  <c r="F67" i="58"/>
  <c r="F71" i="58"/>
  <c r="E67" i="58"/>
  <c r="J67" i="58"/>
  <c r="H67" i="58"/>
  <c r="F68" i="60"/>
  <c r="D68" i="60"/>
  <c r="E71" i="60"/>
  <c r="E84" i="60" s="1"/>
  <c r="E68" i="60"/>
  <c r="G68" i="60"/>
  <c r="D71" i="59"/>
  <c r="D85" i="59" s="1"/>
  <c r="E71" i="59"/>
  <c r="G67" i="58"/>
  <c r="D67" i="58"/>
  <c r="G71" i="58"/>
  <c r="F85" i="58"/>
  <c r="F84" i="58"/>
  <c r="H71" i="59"/>
  <c r="E67" i="59"/>
  <c r="F71" i="59"/>
  <c r="F85" i="59" s="1"/>
  <c r="E101" i="59"/>
  <c r="E104" i="59" s="1"/>
  <c r="E85" i="59"/>
  <c r="I105" i="59"/>
  <c r="I104" i="59"/>
  <c r="I102" i="59"/>
  <c r="G101" i="59"/>
  <c r="D101" i="59"/>
  <c r="F105" i="59"/>
  <c r="F104" i="59"/>
  <c r="F102" i="59"/>
  <c r="H101" i="59"/>
  <c r="J105" i="59"/>
  <c r="J104" i="59"/>
  <c r="J102" i="59"/>
  <c r="K66" i="60"/>
  <c r="F71" i="60"/>
  <c r="F84" i="60" s="1"/>
  <c r="H71" i="60"/>
  <c r="H84" i="60" s="1"/>
  <c r="K65" i="59"/>
  <c r="D42" i="38"/>
  <c r="D43" i="38" s="1"/>
  <c r="D44" i="38" s="1"/>
  <c r="K67" i="60"/>
  <c r="D71" i="61"/>
  <c r="K69" i="61"/>
  <c r="D46" i="38" s="1"/>
  <c r="D85" i="61"/>
  <c r="D84" i="61"/>
  <c r="D82" i="61"/>
  <c r="K69" i="59"/>
  <c r="D67" i="59"/>
  <c r="E82" i="58"/>
  <c r="G82" i="61"/>
  <c r="K70" i="61"/>
  <c r="D47" i="38" s="1"/>
  <c r="F85" i="61"/>
  <c r="F84" i="61"/>
  <c r="G82" i="58"/>
  <c r="K65" i="58"/>
  <c r="I67" i="58"/>
  <c r="G84" i="58"/>
  <c r="K69" i="60"/>
  <c r="K70" i="59"/>
  <c r="I71" i="59"/>
  <c r="I85" i="59" s="1"/>
  <c r="I71" i="61"/>
  <c r="I85" i="61"/>
  <c r="I84" i="61"/>
  <c r="I82" i="61"/>
  <c r="K70" i="58"/>
  <c r="J71" i="60"/>
  <c r="J84" i="60" s="1"/>
  <c r="E71" i="58"/>
  <c r="H82" i="61"/>
  <c r="H71" i="61"/>
  <c r="H84" i="61"/>
  <c r="H85" i="61"/>
  <c r="H84" i="58"/>
  <c r="H85" i="58"/>
  <c r="H82" i="58"/>
  <c r="H71" i="58"/>
  <c r="F82" i="61"/>
  <c r="K69" i="58"/>
  <c r="D84" i="58"/>
  <c r="D85" i="58"/>
  <c r="D82" i="58"/>
  <c r="D71" i="58"/>
  <c r="G71" i="61"/>
  <c r="G85" i="61"/>
  <c r="I82" i="58"/>
  <c r="I71" i="58"/>
  <c r="I85" i="58"/>
  <c r="I84" i="58"/>
  <c r="K66" i="58"/>
  <c r="J71" i="58"/>
  <c r="J82" i="58"/>
  <c r="J85" i="58"/>
  <c r="J84" i="58"/>
  <c r="G71" i="59"/>
  <c r="G85" i="59" s="1"/>
  <c r="E84" i="58"/>
  <c r="F71" i="61"/>
  <c r="K70" i="60"/>
  <c r="K67" i="58" l="1"/>
  <c r="D51" i="38"/>
  <c r="C18" i="62"/>
  <c r="D50" i="38"/>
  <c r="C17" i="62"/>
  <c r="D48" i="38"/>
  <c r="D85" i="38"/>
  <c r="D86" i="38" s="1"/>
  <c r="K84" i="60"/>
  <c r="K67" i="59"/>
  <c r="K71" i="60"/>
  <c r="K71" i="58"/>
  <c r="E102" i="59"/>
  <c r="E105" i="59"/>
  <c r="G105" i="59"/>
  <c r="G104" i="59"/>
  <c r="G102" i="59"/>
  <c r="H105" i="59"/>
  <c r="H102" i="59"/>
  <c r="H104" i="59"/>
  <c r="K71" i="59"/>
  <c r="K101" i="59"/>
  <c r="D104" i="59"/>
  <c r="D105" i="59"/>
  <c r="D102" i="59"/>
  <c r="K85" i="58"/>
  <c r="K82" i="58"/>
  <c r="K84" i="58"/>
  <c r="K71" i="61"/>
  <c r="K82" i="61"/>
  <c r="K84" i="61"/>
  <c r="K85" i="61"/>
  <c r="H85" i="59"/>
  <c r="K85" i="59" s="1"/>
  <c r="D52" i="38" l="1"/>
  <c r="D54" i="38" s="1"/>
  <c r="D64" i="38"/>
  <c r="D65" i="38" s="1"/>
  <c r="D91" i="38"/>
  <c r="K105" i="59"/>
  <c r="K104" i="59"/>
  <c r="K102" i="59"/>
  <c r="D55" i="38" l="1"/>
  <c r="C15" i="62"/>
  <c r="C19" i="62" s="1"/>
  <c r="E19" i="62" s="1"/>
  <c r="D58" i="38"/>
  <c r="C16" i="62"/>
  <c r="C20" i="62" s="1"/>
  <c r="E20" i="62" s="1"/>
  <c r="D68" i="38"/>
  <c r="D69" i="38"/>
  <c r="E28" i="62" l="1"/>
  <c r="E30" i="62" s="1"/>
  <c r="E45" i="62" s="1"/>
  <c r="D72" i="38"/>
  <c r="D76" i="38" s="1"/>
  <c r="D73" i="60" s="1"/>
  <c r="D56" i="38"/>
  <c r="D59" i="38"/>
  <c r="D73" i="38" s="1"/>
  <c r="D77" i="38" s="1"/>
  <c r="D74" i="60" s="1"/>
  <c r="D83" i="60" s="1"/>
  <c r="D70" i="38"/>
  <c r="D60" i="38" l="1"/>
  <c r="D74" i="59"/>
  <c r="D74" i="38"/>
  <c r="D82" i="60"/>
  <c r="D87" i="60" s="1"/>
  <c r="D90" i="60" s="1"/>
  <c r="E73" i="60"/>
  <c r="E82" i="60" s="1"/>
  <c r="E74" i="60"/>
  <c r="E83" i="60" s="1"/>
  <c r="D75" i="59"/>
  <c r="D84" i="59" s="1"/>
  <c r="E87" i="60" l="1"/>
  <c r="E90" i="60" s="1"/>
  <c r="D83" i="59"/>
  <c r="D88" i="59" s="1"/>
  <c r="D91" i="59" s="1"/>
  <c r="D92" i="60" s="1"/>
  <c r="I73" i="60"/>
  <c r="I82" i="60" s="1"/>
  <c r="E74" i="59"/>
  <c r="I74" i="59" s="1"/>
  <c r="I83" i="59" s="1"/>
  <c r="F73" i="60"/>
  <c r="F82" i="60" s="1"/>
  <c r="I74" i="60"/>
  <c r="I83" i="60" s="1"/>
  <c r="E75" i="59"/>
  <c r="E84" i="59" s="1"/>
  <c r="F74" i="60"/>
  <c r="F83" i="60" s="1"/>
  <c r="G73" i="60"/>
  <c r="G82" i="60" s="1"/>
  <c r="I87" i="60" l="1"/>
  <c r="I90" i="60" s="1"/>
  <c r="F87" i="60"/>
  <c r="F90" i="60" s="1"/>
  <c r="J73" i="60"/>
  <c r="J82" i="60" s="1"/>
  <c r="E83" i="59"/>
  <c r="E88" i="59" s="1"/>
  <c r="E91" i="59" s="1"/>
  <c r="E92" i="60" s="1"/>
  <c r="F74" i="59"/>
  <c r="J74" i="60"/>
  <c r="J83" i="60" s="1"/>
  <c r="J74" i="59"/>
  <c r="J83" i="59" s="1"/>
  <c r="F75" i="59"/>
  <c r="G75" i="59" s="1"/>
  <c r="G84" i="59" s="1"/>
  <c r="I75" i="59"/>
  <c r="J75" i="59" s="1"/>
  <c r="J84" i="59" s="1"/>
  <c r="G74" i="60"/>
  <c r="G83" i="60" s="1"/>
  <c r="G87" i="60" s="1"/>
  <c r="G90" i="60" s="1"/>
  <c r="H73" i="60"/>
  <c r="H82" i="60" s="1"/>
  <c r="K82" i="60" l="1"/>
  <c r="J87" i="60"/>
  <c r="J90" i="60" s="1"/>
  <c r="J88" i="59"/>
  <c r="J91" i="59" s="1"/>
  <c r="J92" i="60" s="1"/>
  <c r="F83" i="59"/>
  <c r="G74" i="59"/>
  <c r="H74" i="60"/>
  <c r="H83" i="60" s="1"/>
  <c r="K83" i="60" s="1"/>
  <c r="K87" i="60" s="1"/>
  <c r="H75" i="59"/>
  <c r="H84" i="59" s="1"/>
  <c r="F84" i="59"/>
  <c r="I84" i="59"/>
  <c r="I88" i="59" s="1"/>
  <c r="I91" i="59" s="1"/>
  <c r="I92" i="60" s="1"/>
  <c r="K84" i="59" l="1"/>
  <c r="H87" i="60"/>
  <c r="H90" i="60" s="1"/>
  <c r="K90" i="60" s="1"/>
  <c r="F88" i="59"/>
  <c r="F91" i="59" s="1"/>
  <c r="F92" i="60" s="1"/>
  <c r="G83" i="59"/>
  <c r="G88" i="59" s="1"/>
  <c r="G91" i="59" s="1"/>
  <c r="G92" i="60" s="1"/>
  <c r="H74" i="59"/>
  <c r="H83" i="59" s="1"/>
  <c r="H88" i="59" s="1"/>
  <c r="H91" i="59" s="1"/>
  <c r="K91" i="59" l="1"/>
  <c r="K92" i="60" s="1"/>
  <c r="K83" i="59"/>
  <c r="K88" i="59" s="1"/>
  <c r="H92" i="60"/>
</calcChain>
</file>

<file path=xl/comments1.xml><?xml version="1.0" encoding="utf-8"?>
<comments xmlns="http://schemas.openxmlformats.org/spreadsheetml/2006/main">
  <authors>
    <author>Hege Kristin Sunde</author>
  </authors>
  <commentList>
    <comment ref="C6" authorId="0" shapeId="0">
      <text>
        <r>
          <rPr>
            <sz val="9"/>
            <color indexed="81"/>
            <rFont val="Tahoma"/>
            <family val="2"/>
          </rPr>
          <t>Sats fastsatt av staten i Forskrift om tilskudd til private barnehager § 4; 13 % ved ordinære barnehager og 6 % ved familiebarnehager. Se forskrift.</t>
        </r>
      </text>
    </comment>
    <comment ref="C7" authorId="0" shapeId="0">
      <text>
        <r>
          <rPr>
            <sz val="9"/>
            <color indexed="81"/>
            <rFont val="Tahoma"/>
            <family val="2"/>
          </rPr>
          <t>Må tilpasses satsen til kommunen</t>
        </r>
      </text>
    </comment>
    <comment ref="C19" authorId="0" shapeId="0">
      <text>
        <r>
          <rPr>
            <sz val="9"/>
            <color indexed="81"/>
            <rFont val="Tahoma"/>
            <family val="2"/>
          </rPr>
          <t>Sats fastsatt av staten i Forskrift om tilskudd til private barnehager § 4; 13 % ved ordinære barnehager og 6 % ved familiebarnehager. Se forskrift.</t>
        </r>
      </text>
    </comment>
    <comment ref="C20" authorId="0" shapeId="0">
      <text>
        <r>
          <rPr>
            <sz val="9"/>
            <color indexed="81"/>
            <rFont val="Tahoma"/>
            <family val="2"/>
          </rPr>
          <t>Må tilpasses satsen til kommunen</t>
        </r>
      </text>
    </comment>
  </commentList>
</comments>
</file>

<file path=xl/comments2.xml><?xml version="1.0" encoding="utf-8"?>
<comments xmlns="http://schemas.openxmlformats.org/spreadsheetml/2006/main">
  <authors>
    <author>Bjørn Brox</author>
    <author>Lena Johnsen</author>
    <author>Trond Kalhagen</author>
  </authors>
  <commentList>
    <comment ref="E1" authorId="0" shapeId="0">
      <text>
        <r>
          <rPr>
            <b/>
            <sz val="9"/>
            <color indexed="81"/>
            <rFont val="Tahoma"/>
            <family val="2"/>
          </rPr>
          <t>Bjørn Brox:</t>
        </r>
        <r>
          <rPr>
            <sz val="9"/>
            <color indexed="81"/>
            <rFont val="Tahoma"/>
            <family val="2"/>
          </rPr>
          <t xml:space="preserve">
Bytt ut for nytt år. Styrer alle årstall i skjemaet.
</t>
        </r>
      </text>
    </comment>
    <comment ref="A31" authorId="1" shapeId="0">
      <text>
        <r>
          <rPr>
            <b/>
            <sz val="9"/>
            <color indexed="81"/>
            <rFont val="Tahoma"/>
            <family val="2"/>
          </rPr>
          <t>Endret fra kostnad til utgift</t>
        </r>
      </text>
    </comment>
    <comment ref="C34" authorId="2" shapeId="0">
      <text>
        <r>
          <rPr>
            <b/>
            <sz val="9"/>
            <color indexed="81"/>
            <rFont val="Tahoma"/>
            <family val="2"/>
          </rPr>
          <t>Husk negativt fortegn på fradrag.</t>
        </r>
      </text>
    </comment>
  </commentList>
</comments>
</file>

<file path=xl/sharedStrings.xml><?xml version="1.0" encoding="utf-8"?>
<sst xmlns="http://schemas.openxmlformats.org/spreadsheetml/2006/main" count="2816" uniqueCount="429">
  <si>
    <t>SUM</t>
  </si>
  <si>
    <t>Barn 0-2 år</t>
  </si>
  <si>
    <t>Funksjon 201 barnehage</t>
  </si>
  <si>
    <t>Funksjon 221 barnehagelokaler</t>
  </si>
  <si>
    <t>0-8 timer</t>
  </si>
  <si>
    <t>9-16 timer</t>
  </si>
  <si>
    <t>17-24 timer</t>
  </si>
  <si>
    <t>25-32 timer</t>
  </si>
  <si>
    <t>33-40 timer</t>
  </si>
  <si>
    <t>41 timer eller mer</t>
  </si>
  <si>
    <t>Barn 3-6 år</t>
  </si>
  <si>
    <t>SUM barn</t>
  </si>
  <si>
    <t>Korrigerte/standardiserte barn.</t>
  </si>
  <si>
    <t>SUM foreldrebetaling</t>
  </si>
  <si>
    <t>Satser for driftstilskudd per plass (100%)</t>
  </si>
  <si>
    <t>Driftstilskudd</t>
  </si>
  <si>
    <t>Kapitaltilskudd</t>
  </si>
  <si>
    <t>Samlet tilskudd</t>
  </si>
  <si>
    <t>Alle barn</t>
  </si>
  <si>
    <t>Barn</t>
  </si>
  <si>
    <t>Alder</t>
  </si>
  <si>
    <t>Andel full plass</t>
  </si>
  <si>
    <t>Heltidsbarn 0-2 år</t>
  </si>
  <si>
    <t>Heltidsbarn 3-6 år</t>
  </si>
  <si>
    <t>Heltidsbarn</t>
  </si>
  <si>
    <t>Vekt (forskriften)</t>
  </si>
  <si>
    <t>Styrer</t>
  </si>
  <si>
    <t>Ped leder</t>
  </si>
  <si>
    <t>Sum</t>
  </si>
  <si>
    <t>Ansvar</t>
  </si>
  <si>
    <t>Barnehage</t>
  </si>
  <si>
    <t>Driftstilskudd små barn</t>
  </si>
  <si>
    <t>Driftstilskudd store barn</t>
  </si>
  <si>
    <t>Kapitaltilskudd per barn</t>
  </si>
  <si>
    <t>Fødselsår</t>
  </si>
  <si>
    <t>SUM driftsutgifter barnehage</t>
  </si>
  <si>
    <t>Foreldrebetaling uten rabatter</t>
  </si>
  <si>
    <t>Andel av plassene etter alder (vektet)</t>
  </si>
  <si>
    <t>Kostnadsfordeling etter barnas alder (vektet)</t>
  </si>
  <si>
    <t>Sum direkte driftsutgifter</t>
  </si>
  <si>
    <t>Barn 0-2 år, gjennomsnitt per måned</t>
  </si>
  <si>
    <t>Barn 3-6 år, gjennomsnitt per måned</t>
  </si>
  <si>
    <t>Offentlig finansiering: Kostnad minus betaling:</t>
  </si>
  <si>
    <t>Nøkkeltall:</t>
  </si>
  <si>
    <t>Bemanning årsverk</t>
  </si>
  <si>
    <t>Barn per årsverk</t>
  </si>
  <si>
    <t>Barn vektet 2/1</t>
  </si>
  <si>
    <t>Satser per år, hel plass i 11 måneder:</t>
  </si>
  <si>
    <t xml:space="preserve">Inntekt til kommunen årlig: </t>
  </si>
  <si>
    <t>Antall barn (heltidsbarn)</t>
  </si>
  <si>
    <t>100-290</t>
  </si>
  <si>
    <t>Mva</t>
  </si>
  <si>
    <t>Internt salg</t>
  </si>
  <si>
    <t>Varer og tjenester</t>
  </si>
  <si>
    <t>MVA-kompensasjon</t>
  </si>
  <si>
    <t>Art Kostra</t>
  </si>
  <si>
    <t>Sykelønnsrefusjoner</t>
  </si>
  <si>
    <t>Kommentar</t>
  </si>
  <si>
    <t xml:space="preserve">+yrkesskade forsikring </t>
  </si>
  <si>
    <t>+premie AFP, pensjonsforsikring</t>
  </si>
  <si>
    <t>+ felles opplæring</t>
  </si>
  <si>
    <t xml:space="preserve">+felles porto, telefon, </t>
  </si>
  <si>
    <t>-refusjoner NAV attføring mv art 700</t>
  </si>
  <si>
    <t>Evt barnehageutgifter ført på andre funksjoner</t>
  </si>
  <si>
    <t>Sum funksjon 201 relevante barnehager</t>
  </si>
  <si>
    <t>Sum funksjon 221 relevante barnehager</t>
  </si>
  <si>
    <t>+andel av IKT fagsystem barnehage</t>
  </si>
  <si>
    <t>+ andre barnehageutgifter ført felles</t>
  </si>
  <si>
    <t xml:space="preserve">Administrasjonspåslag </t>
  </si>
  <si>
    <t>-kapitaldel innleide lokaler</t>
  </si>
  <si>
    <t>Sum korreksjoner</t>
  </si>
  <si>
    <t>Gruppe nøkkeltall</t>
  </si>
  <si>
    <t>Drift 201</t>
  </si>
  <si>
    <t>Drift 221</t>
  </si>
  <si>
    <t>Driftsmidler funksjon 201 per barn heltid</t>
  </si>
  <si>
    <t xml:space="preserve">Driftsmidler funksjon 201 </t>
  </si>
  <si>
    <t>Barn per årsverk, vektet 2/1</t>
  </si>
  <si>
    <t>Forholdstall funksjon 211/201</t>
  </si>
  <si>
    <t>Ansvar (T)</t>
  </si>
  <si>
    <t>Tjeneste</t>
  </si>
  <si>
    <t>Tjeneste (T)</t>
  </si>
  <si>
    <t>Sumart (T)</t>
  </si>
  <si>
    <t>Konto</t>
  </si>
  <si>
    <t>Konto (T)</t>
  </si>
  <si>
    <t>Arbeidsgiveravgift</t>
  </si>
  <si>
    <t>Gruppering</t>
  </si>
  <si>
    <t xml:space="preserve">2. Varer og tjenester </t>
  </si>
  <si>
    <t>3. Mva</t>
  </si>
  <si>
    <t>6. Mva-kompensasjon</t>
  </si>
  <si>
    <t>5. sykelønnsrefusjon</t>
  </si>
  <si>
    <t>Regnskap</t>
  </si>
  <si>
    <t>Sum av Regnskap</t>
  </si>
  <si>
    <t>2. varer og tjenester</t>
  </si>
  <si>
    <t>3. MVA</t>
  </si>
  <si>
    <t>Avskrivinger</t>
  </si>
  <si>
    <t>Barn per styrer, vektet 2/1</t>
  </si>
  <si>
    <t>Barn per årsverk i avdelingen, vektet 2/1</t>
  </si>
  <si>
    <t>Funksjon 201 samlet, netto</t>
  </si>
  <si>
    <t>Funksjon 211 samlet, netto</t>
  </si>
  <si>
    <t>Totalsum</t>
  </si>
  <si>
    <t>Fradrag for naturalytelser</t>
  </si>
  <si>
    <t>Trekk i ht til forskrift § 6</t>
  </si>
  <si>
    <t xml:space="preserve">Nøkkeltall: </t>
  </si>
  <si>
    <t>1000 kr</t>
  </si>
  <si>
    <t>År 1</t>
  </si>
  <si>
    <t>År 2</t>
  </si>
  <si>
    <t>Totalt</t>
  </si>
  <si>
    <t>Evt fradrag i barnehagenes regnskaper 201/221:</t>
  </si>
  <si>
    <t>Prinsipp</t>
  </si>
  <si>
    <t>Beløp</t>
  </si>
  <si>
    <t>Satsen i tilskuddsåret</t>
  </si>
  <si>
    <t>Kom 1</t>
  </si>
  <si>
    <t>Kom 2</t>
  </si>
  <si>
    <t>Kom 3</t>
  </si>
  <si>
    <t>Kom 4</t>
  </si>
  <si>
    <t>Kom 5</t>
  </si>
  <si>
    <t>Kom 6</t>
  </si>
  <si>
    <t>Kom 7</t>
  </si>
  <si>
    <t>Bemanning årsverk ved årets start:</t>
  </si>
  <si>
    <t>Tilskudd kroner per år</t>
  </si>
  <si>
    <t>Antall måneder dette vedtaket gjelder for</t>
  </si>
  <si>
    <t>Tilskudd for vedtaksperioden</t>
  </si>
  <si>
    <t>Andel plass</t>
  </si>
  <si>
    <t>Antall måneder dette vedtaket omfatter</t>
  </si>
  <si>
    <t>Samlet tilskudd for året</t>
  </si>
  <si>
    <t>Prisjustering regnskap, deflator</t>
  </si>
  <si>
    <t>Privat 1</t>
  </si>
  <si>
    <t>Privat 2</t>
  </si>
  <si>
    <t>Privat 3</t>
  </si>
  <si>
    <t>Privat 4</t>
  </si>
  <si>
    <t>Privat 5</t>
  </si>
  <si>
    <t>Privat 6</t>
  </si>
  <si>
    <t>Privat 7</t>
  </si>
  <si>
    <t xml:space="preserve">Satser for kommunalt tilskudd </t>
  </si>
  <si>
    <t>Barn under ett år per 1.9.</t>
  </si>
  <si>
    <t>Barnehagelærer</t>
  </si>
  <si>
    <t>Fagarbeider</t>
  </si>
  <si>
    <t>Assistent</t>
  </si>
  <si>
    <t>1.lønn</t>
  </si>
  <si>
    <t>7. Matpenger</t>
  </si>
  <si>
    <t>Type utgift</t>
  </si>
  <si>
    <t>Sum selvkost</t>
  </si>
  <si>
    <t>1. Lønn</t>
  </si>
  <si>
    <t>000-089</t>
  </si>
  <si>
    <t>Påslag pensjon 13% av lønn</t>
  </si>
  <si>
    <t>8. internt salg</t>
  </si>
  <si>
    <t>8 internt salg</t>
  </si>
  <si>
    <t>690, 790</t>
  </si>
  <si>
    <t>-andre refusjoner lønn</t>
  </si>
  <si>
    <t>-andre refusjoner drift</t>
  </si>
  <si>
    <t>Se økonomirapport 201</t>
  </si>
  <si>
    <t>Inntekten i regnskapsåret, deflatert</t>
  </si>
  <si>
    <t>Kostpenger</t>
  </si>
  <si>
    <t>Kostpenger per barn</t>
  </si>
  <si>
    <t>Regnskap delt på heltidsbarn</t>
  </si>
  <si>
    <t>9. Pensjon</t>
  </si>
  <si>
    <t>Årsverk basistilbudet</t>
  </si>
  <si>
    <t>Basistilbudet</t>
  </si>
  <si>
    <t>Basistilbudet, gjennomsnitt for året</t>
  </si>
  <si>
    <t>Pensjonspremie</t>
  </si>
  <si>
    <t xml:space="preserve">Pensjonsutgift </t>
  </si>
  <si>
    <t>Årsverk</t>
  </si>
  <si>
    <t>0-2 år</t>
  </si>
  <si>
    <t>3-5 år</t>
  </si>
  <si>
    <t>Tilskudd etter barnets alder</t>
  </si>
  <si>
    <t>Signatur:</t>
  </si>
  <si>
    <t>Dato:</t>
  </si>
  <si>
    <t>Søknadsskjema for utvidet tilskudd til pensjonsutgifter</t>
  </si>
  <si>
    <t>1. Kommunal pensjonsutgift per årsverk</t>
  </si>
  <si>
    <t>2. Tilskudd til pensjonsutgift per heltidsplass</t>
  </si>
  <si>
    <t>3. Pensjonstilskudd per årsverk</t>
  </si>
  <si>
    <t>Regnskapsår</t>
  </si>
  <si>
    <t>Tilskuddsår</t>
  </si>
  <si>
    <t>Basistilbudet, årsmelding, gjennomsnitt</t>
  </si>
  <si>
    <t>Påslag for pensjon</t>
  </si>
  <si>
    <t>Sum påslag</t>
  </si>
  <si>
    <t>Heltidsplasser i kommunen</t>
  </si>
  <si>
    <t>Sum pensjonstilskudd for alle barn:</t>
  </si>
  <si>
    <t>Lønns/ prisvekst</t>
  </si>
  <si>
    <t>Søknad fra:</t>
  </si>
  <si>
    <t>Pensjonstilskudd pr. årsverk:</t>
  </si>
  <si>
    <t>Fyll inn opplysninger i de hvite feltene.</t>
  </si>
  <si>
    <t>Arbeidsgiveravgift av pensjonsutgift</t>
  </si>
  <si>
    <t>Pensjonsutgifter inkl arbeidsgiveravgift</t>
  </si>
  <si>
    <t>Barnehagens pensjonsutgifter pr. årsverk:</t>
  </si>
  <si>
    <t>Pensjonsutgift per årsverk i kommunale barnehager</t>
  </si>
  <si>
    <t>Godkjente plasser</t>
  </si>
  <si>
    <t>Plasser som gir rett til tilskudd</t>
  </si>
  <si>
    <t>Privat 8</t>
  </si>
  <si>
    <t>År godkjent</t>
  </si>
  <si>
    <t>Sats for kapitaltilskudd</t>
  </si>
  <si>
    <t>Godkjent år</t>
  </si>
  <si>
    <t>Plasser (små barn teller dobbelt)</t>
  </si>
  <si>
    <t>Plasser per årsverk, vektet 2/1</t>
  </si>
  <si>
    <t>Plasser per styrer</t>
  </si>
  <si>
    <t>Plasser per årsverk i avdelingen</t>
  </si>
  <si>
    <t>Sats for tilskudd per plass</t>
  </si>
  <si>
    <t xml:space="preserve">Plasser i bruk </t>
  </si>
  <si>
    <t>Tilskudd</t>
  </si>
  <si>
    <t>Tilskudd per plass i gjennomsnitt</t>
  </si>
  <si>
    <t>Pensjonstilskudd per heltidsplass</t>
  </si>
  <si>
    <t>Barnehagens pensjonsutgift minus beregnet  pensjonstilskudd:</t>
  </si>
  <si>
    <t>Vi søker med dette om å få dekket de pensjonsutgiftene som overstiger pensjonstilskuddet</t>
  </si>
  <si>
    <t>Vedlegg: Dokumentasjon av pensjonsutgiftene i barnehagen.</t>
  </si>
  <si>
    <t>Trekk i hht til barnehagelovens § 14 a.</t>
  </si>
  <si>
    <t>Lønnsutgift funksjon 201, barnehagene</t>
  </si>
  <si>
    <t>Lønnsutgift per årsverk</t>
  </si>
  <si>
    <t>Anslag 2017</t>
  </si>
  <si>
    <t>Årstallet i celle c2 økes med ett år hver høst. Da oppdateres alle årstallene (fødselsårene)</t>
  </si>
  <si>
    <t>Fra årsmeldingene</t>
  </si>
  <si>
    <t>Dette regnearket brukes av kommuner som ønsker å telle to ganger i året. Lag nye skjema dersom det skal mer enn to ganger.</t>
  </si>
  <si>
    <t>Merknader</t>
  </si>
  <si>
    <t>Gjelder for søknader om ekstra pensjonstilskudd for 2017.</t>
  </si>
  <si>
    <t>Lønn funksjon 201, ansvar barnehagene. Hentes fra selvkostkalkylen.</t>
  </si>
  <si>
    <t>Avgift av lønn og pensjonspremie</t>
  </si>
  <si>
    <t>Sum lønn og sosial utgifter</t>
  </si>
  <si>
    <t>Årsverk basistilbudet i hht barnehagenes årsmeldinger (ikke styrkingstiltak eller drift av bygg)</t>
  </si>
  <si>
    <t>Pensjonspåslag i selvkostkalkylen, funksjon 201 og 221</t>
  </si>
  <si>
    <t>Arbeidsgiveravgift av pensjon. Må velge riktig sats.</t>
  </si>
  <si>
    <t>Påslaget fordeles mellom små og store barn slim det er gjort i selvkostkalkylen</t>
  </si>
  <si>
    <t>Fra selvkostkalkylen</t>
  </si>
  <si>
    <t>Brukes i søknaden fra barnehagen</t>
  </si>
  <si>
    <t>Barnehagen trenger bare å fylle inn i de hvite cellene.</t>
  </si>
  <si>
    <t>Dette er det tilskuddet barnehagen får for tilskuddsåret fra kommunen.</t>
  </si>
  <si>
    <t>Skal være de samme ansatte som pensjonspremien omfatter.</t>
  </si>
  <si>
    <t>Kan søke om tilskudd dersom beløpet er positivt og "vesentlig"</t>
  </si>
  <si>
    <t>Dokumentere utgiften og hvilke ansatte som dekkes av ordningen.</t>
  </si>
  <si>
    <t>Tilskuddssats for små og store barn ganget med antall heltidsbarn</t>
  </si>
  <si>
    <t>Sats</t>
  </si>
  <si>
    <t>Inkluderer evt bruk av vikarbyrå og utgifter til mat</t>
  </si>
  <si>
    <t>Inkluderer sykelønnsrefusjoner</t>
  </si>
  <si>
    <t>91. Arbeidsgiveravgift</t>
  </si>
  <si>
    <t>Regnskap hentes fra fane 2</t>
  </si>
  <si>
    <t>7/12 av antallet i årsm 2014 og 5/12 av antallet i årsmelding 2015</t>
  </si>
  <si>
    <t>Oppholdstid</t>
  </si>
  <si>
    <t>Arbeidsgiveravgift av påslag pensjon</t>
  </si>
  <si>
    <t>Regnskapsført pensjon</t>
  </si>
  <si>
    <t>Regnskapsført arbeidsgiveravgift</t>
  </si>
  <si>
    <t>Regnskapsført lønn</t>
  </si>
  <si>
    <t>099</t>
  </si>
  <si>
    <t>Regnskapsført pensjon inkl. beregnet arb.g.avg.</t>
  </si>
  <si>
    <t>090</t>
  </si>
  <si>
    <t>090*sats</t>
  </si>
  <si>
    <t>Refusjon lærlinger skal ikke trekkes i fra da lønn til lærlinger ikke er med i lønnsgrunnlaget</t>
  </si>
  <si>
    <t>Radetiketter</t>
  </si>
  <si>
    <t>Summer av Regnskap</t>
  </si>
  <si>
    <t>(tom)</t>
  </si>
  <si>
    <t>Pedagognorm</t>
  </si>
  <si>
    <t>Tilskudd pedagognorm 3-6 år</t>
  </si>
  <si>
    <t>Tilskudd pedagognorm 0-2 år</t>
  </si>
  <si>
    <t>Pedagognorm (§5a)</t>
  </si>
  <si>
    <t>Tilskudd til pedagogisk bemanning er en overgangsordning jfr. Forskrift om tildeling av tilskudd til private barnehager § 5a</t>
  </si>
  <si>
    <r>
      <t xml:space="preserve">Tak for pensjonstilskudd per årsverk. </t>
    </r>
    <r>
      <rPr>
        <sz val="10"/>
        <color rgb="FFFF0000"/>
        <rFont val="Arial"/>
        <family val="2"/>
      </rPr>
      <t>Deflator hentes automatisk fra "4. selvkost"</t>
    </r>
  </si>
  <si>
    <r>
      <rPr>
        <sz val="10"/>
        <color rgb="FFFF0000"/>
        <rFont val="Arial"/>
        <family val="2"/>
      </rPr>
      <t xml:space="preserve">(Barnehagens andel av kommunens bruk av premiefond) </t>
    </r>
    <r>
      <rPr>
        <b/>
        <sz val="10"/>
        <color rgb="FFFF0000"/>
        <rFont val="Arial"/>
        <family val="2"/>
      </rPr>
      <t>Formel:</t>
    </r>
    <r>
      <rPr>
        <sz val="10"/>
        <color rgb="FFFF0000"/>
        <rFont val="Arial"/>
        <family val="2"/>
      </rPr>
      <t xml:space="preserve"> </t>
    </r>
    <r>
      <rPr>
        <sz val="10"/>
        <rFont val="Arial"/>
        <family val="2"/>
      </rPr>
      <t>Premiefond*pensjonspremie barnehage/samlet pensjonspremie</t>
    </r>
  </si>
  <si>
    <r>
      <t xml:space="preserve">Premie betalt for regnskapsåret (to år før tilskuddsåret. </t>
    </r>
    <r>
      <rPr>
        <sz val="10"/>
        <color rgb="FFFF0000"/>
        <rFont val="Arial"/>
        <family val="2"/>
      </rPr>
      <t>(Faktiske utgifter i kalenderåret - se oppstilling fra pensjonsleverandør)</t>
    </r>
  </si>
  <si>
    <t>Sum premie i regnskapsåret</t>
  </si>
  <si>
    <t>+kostnad til AFP (dersom denne ikke er inkludert)</t>
  </si>
  <si>
    <t>-evt. fradrag for ansattes egenandel</t>
  </si>
  <si>
    <t xml:space="preserve">Se dokumentasjon/oppstilling fra pensjonsleverandør. Dersom dette beløpet hentes fra BASIL, er kostnad AFP og egenandeler tatt med. </t>
  </si>
  <si>
    <t>Barnehagen bør kontrollere at tallene stemmer. Avvik fra BASIL må dokumenteres.</t>
  </si>
  <si>
    <t>- bruk av premiefond</t>
  </si>
  <si>
    <r>
      <t xml:space="preserve">4. </t>
    </r>
    <r>
      <rPr>
        <sz val="16"/>
        <color rgb="FFFF0000"/>
        <rFont val="Arial"/>
        <family val="2"/>
      </rPr>
      <t>Pensjonutgift</t>
    </r>
    <r>
      <rPr>
        <sz val="16"/>
        <color theme="1"/>
        <rFont val="Arial"/>
        <family val="2"/>
      </rPr>
      <t xml:space="preserve"> per årsverk</t>
    </r>
  </si>
  <si>
    <r>
      <t xml:space="preserve">Denne er ikke </t>
    </r>
    <r>
      <rPr>
        <sz val="10"/>
        <color rgb="FFFF0000"/>
        <rFont val="Arial"/>
        <family val="2"/>
      </rPr>
      <t>medtatt i oppstilling fra pensjonsleverandør.</t>
    </r>
  </si>
  <si>
    <t>Denne er ikke medtatt i oppstilling fra leverandør av ytelsespensjon.</t>
  </si>
  <si>
    <t>Endret siden leveranse</t>
  </si>
  <si>
    <t>Beløp for bemanningsnorm og pedagognorm inn i mal</t>
  </si>
  <si>
    <t>Revisjon av søknad om ekstra pensjonstilskudd</t>
  </si>
  <si>
    <t>Denne tas ikke med i beregningen, men evt. utgifter skal synliggjøres</t>
  </si>
  <si>
    <t>Denne tas ikke med i beregningen, men utgifter skal synliggjøres</t>
  </si>
  <si>
    <t>anslag fra statsbudsjett 2019</t>
  </si>
  <si>
    <t>Klikk i tabellen, velg "Analyser" øverst - klikk på knappen "oppdater"</t>
  </si>
  <si>
    <t>https://www.udir.no/regelverk-og-tilsyn/barnehage/tilskudd-til-private-barnehager/</t>
  </si>
  <si>
    <t>Utdanningsdirektoratet publiserer også deflatorene som skal legges til grunn.</t>
  </si>
  <si>
    <t>Husk å sjekke deflator på udir.no</t>
  </si>
  <si>
    <t xml:space="preserve">Fastsettes i statsbudsjettet. </t>
  </si>
  <si>
    <t>Foreldrebetaling og kostpenger</t>
  </si>
  <si>
    <t>OBS: "Privat 1" står to ganger for å illustrere muligheten for å legge til grunn to ulike godkjenningsår</t>
  </si>
  <si>
    <t>2010 eller før</t>
  </si>
  <si>
    <t>Lenke til forskriften</t>
  </si>
  <si>
    <t xml:space="preserve">Satsene oppdateres årlig i forskriften (november/desember): </t>
  </si>
  <si>
    <t>Obs! Ordningen avvikles fra 1.1.2020</t>
  </si>
  <si>
    <t>For tellinger om høsten skal 0-åringer være de som er født i tilskuddsåret</t>
  </si>
  <si>
    <t>100</t>
  </si>
  <si>
    <t>Politisk styring og kontroll</t>
  </si>
  <si>
    <t>Førskole</t>
  </si>
  <si>
    <t>Tapt arb.fortjeneste</t>
  </si>
  <si>
    <t>Feilføring</t>
  </si>
  <si>
    <t>121</t>
  </si>
  <si>
    <t>Forsikringer</t>
  </si>
  <si>
    <t>Tariffpliktig gruppeliv/ulykke</t>
  </si>
  <si>
    <t>Personforsikringer</t>
  </si>
  <si>
    <t>Refusjoner fra andre (private)</t>
  </si>
  <si>
    <t>140</t>
  </si>
  <si>
    <t>Personalkontor</t>
  </si>
  <si>
    <t>Abonnement/faglitteratur</t>
  </si>
  <si>
    <t>Annonser</t>
  </si>
  <si>
    <t>Momskomp.utgift, drift</t>
  </si>
  <si>
    <t>Momskomp.innt, drift</t>
  </si>
  <si>
    <t>141</t>
  </si>
  <si>
    <t>Fellesstilinger</t>
  </si>
  <si>
    <t>Lønn, lærlinger</t>
  </si>
  <si>
    <t>Pensjonspremie KLP</t>
  </si>
  <si>
    <t>Refusjoner fra fylkeskommuner</t>
  </si>
  <si>
    <t>refusjon lærlinger</t>
  </si>
  <si>
    <t>160</t>
  </si>
  <si>
    <t>Økonomi-/kasse/skatt</t>
  </si>
  <si>
    <t>Fast lønn</t>
  </si>
  <si>
    <t>Barnehagemyndighet</t>
  </si>
  <si>
    <t>180</t>
  </si>
  <si>
    <t>Informasjon og næring</t>
  </si>
  <si>
    <t>Kopiering</t>
  </si>
  <si>
    <t>Div. driftsutgifter</t>
  </si>
  <si>
    <t>Telefonutgifter</t>
  </si>
  <si>
    <t>Porto</t>
  </si>
  <si>
    <t>Kjøp og finansiell leie av driftsmidler</t>
  </si>
  <si>
    <t>181</t>
  </si>
  <si>
    <t>IKT</t>
  </si>
  <si>
    <t>Lisenser</t>
  </si>
  <si>
    <t>EDB-utstyr</t>
  </si>
  <si>
    <t>EDB, service- /driftsavtaler og reparasjoner</t>
  </si>
  <si>
    <t>Konsulenttjenester</t>
  </si>
  <si>
    <t>183</t>
  </si>
  <si>
    <t>Servicetorg</t>
  </si>
  <si>
    <t>210</t>
  </si>
  <si>
    <t>Grunnskole H</t>
  </si>
  <si>
    <t>Vikarer</t>
  </si>
  <si>
    <t>Pensjonspremie SPK</t>
  </si>
  <si>
    <t>Matvarer</t>
  </si>
  <si>
    <t>Sykelønnsrefusjon</t>
  </si>
  <si>
    <t>Ref.feriep. av sykep.</t>
  </si>
  <si>
    <t>270</t>
  </si>
  <si>
    <t>Vi barnehage</t>
  </si>
  <si>
    <t>Vikarer m/refusjon</t>
  </si>
  <si>
    <t>Overtid</t>
  </si>
  <si>
    <t>Annen lønn og trekkpliktige godtgjørelser</t>
  </si>
  <si>
    <t>Lærling</t>
  </si>
  <si>
    <t>Kontormateriell</t>
  </si>
  <si>
    <t>Leker/sysselsettingsutstyr</t>
  </si>
  <si>
    <t>Medisinsk forbruksmateriell</t>
  </si>
  <si>
    <t>Velferdstiltak, ansatte</t>
  </si>
  <si>
    <t>Velferdstiltak, brukere</t>
  </si>
  <si>
    <t>Turer, leirskoler</t>
  </si>
  <si>
    <t>Oppg.pl. mobiltlf, interim</t>
  </si>
  <si>
    <t>Kursutgifter</t>
  </si>
  <si>
    <t>Reiseutgifter, oppg. pl.</t>
  </si>
  <si>
    <t>Andre oppgavepliktige godtgjørelser</t>
  </si>
  <si>
    <t>Oppg.pl. telefoni</t>
  </si>
  <si>
    <t>Energi</t>
  </si>
  <si>
    <t>Komm.avgifter</t>
  </si>
  <si>
    <t>Gebyr</t>
  </si>
  <si>
    <t>Service- /driftsavtaler og reparasjoner</t>
  </si>
  <si>
    <t>Foreldrebetaling</t>
  </si>
  <si>
    <t>foreldrebetaling</t>
  </si>
  <si>
    <t>Egenbetaling pasienter</t>
  </si>
  <si>
    <t>Kosthold avg.fri</t>
  </si>
  <si>
    <t>Kaffetrekk</t>
  </si>
  <si>
    <t>Refusjoner fra staten</t>
  </si>
  <si>
    <t>refusjoner</t>
  </si>
  <si>
    <t>271</t>
  </si>
  <si>
    <t>Private barnehager</t>
  </si>
  <si>
    <t>Kjøp fra andre (private)</t>
  </si>
  <si>
    <t>tilskott private b.hager</t>
  </si>
  <si>
    <t>Overf. til andre</t>
  </si>
  <si>
    <t>272</t>
  </si>
  <si>
    <t>Gr barnehage</t>
  </si>
  <si>
    <t>Transportutgifter</t>
  </si>
  <si>
    <t>Husleie</t>
  </si>
  <si>
    <t>Maskiner, større utstyr</t>
  </si>
  <si>
    <t>273</t>
  </si>
  <si>
    <t>So barnehage</t>
  </si>
  <si>
    <t>Rengjøringsmidler</t>
  </si>
  <si>
    <t>Tekstiler</t>
  </si>
  <si>
    <t>Kontingenter</t>
  </si>
  <si>
    <t>Div. inntekter</t>
  </si>
  <si>
    <t>274</t>
  </si>
  <si>
    <t>Vio barnehage</t>
  </si>
  <si>
    <t>Personalmat</t>
  </si>
  <si>
    <t>andre fradrag lønn</t>
  </si>
  <si>
    <t>276</t>
  </si>
  <si>
    <t>Fj barnehage</t>
  </si>
  <si>
    <t>Overføringer fra andre (private)</t>
  </si>
  <si>
    <t>277</t>
  </si>
  <si>
    <t>Se barnehage</t>
  </si>
  <si>
    <t>Læremidler</t>
  </si>
  <si>
    <t>Reiseutg., ikke oppg.pl.</t>
  </si>
  <si>
    <t>279</t>
  </si>
  <si>
    <t>Sa barnehage</t>
  </si>
  <si>
    <t>Pedagogisk IT-programvare/drift</t>
  </si>
  <si>
    <t>361</t>
  </si>
  <si>
    <t>Barn og familie, felles</t>
  </si>
  <si>
    <t>Ekstrahjelp</t>
  </si>
  <si>
    <t>Kjøp fra kommuner</t>
  </si>
  <si>
    <t>Avsetninger til disponible fond</t>
  </si>
  <si>
    <t>Avsetn.til b.fond -drift</t>
  </si>
  <si>
    <t>Refusjoner fra kommuner</t>
  </si>
  <si>
    <t>Overføring fra fylket</t>
  </si>
  <si>
    <t>900</t>
  </si>
  <si>
    <t>Finansieringstransaksjoner</t>
  </si>
  <si>
    <t>Avskrivninger</t>
  </si>
  <si>
    <t>avskriving</t>
  </si>
  <si>
    <t>Førskolelokaler og skyss</t>
  </si>
  <si>
    <t>Utgifter, tilsyn</t>
  </si>
  <si>
    <t>6. MVA-kompensasjon</t>
  </si>
  <si>
    <t>Driftsutgifter, bygninger</t>
  </si>
  <si>
    <t>Vedlikeholdsavdeling</t>
  </si>
  <si>
    <t>Avgifter</t>
  </si>
  <si>
    <t>Vedlikehold, byggetjenester /nybygg</t>
  </si>
  <si>
    <t>Renholdsavdeling</t>
  </si>
  <si>
    <t>Renhold-, vaskeri og vaktmestertjenester</t>
  </si>
  <si>
    <t>Teknisk drift</t>
  </si>
  <si>
    <t>Styrket barnehagetilbud</t>
  </si>
  <si>
    <t>Lønn, sosiale utg. og sykeref.</t>
  </si>
  <si>
    <t>Kjøp av varer og tjenester</t>
  </si>
  <si>
    <t>Refusjonsinntekter</t>
  </si>
  <si>
    <t>Skole, utgifter til PPT</t>
  </si>
  <si>
    <t>Helligdagstillegg</t>
  </si>
  <si>
    <t>Vistestølen barnehage</t>
  </si>
  <si>
    <t>Driftsinntekter</t>
  </si>
  <si>
    <t>Refusjonsutgifter</t>
  </si>
  <si>
    <t>Grødem barnehage</t>
  </si>
  <si>
    <t>Solbakken b.h.</t>
  </si>
  <si>
    <t>Viste barnehage</t>
  </si>
  <si>
    <t>Sentrum b.h.</t>
  </si>
  <si>
    <t>Nye Sande barnehage</t>
  </si>
  <si>
    <t>Overføringsutgifter</t>
  </si>
  <si>
    <t>Lønn, morsmålsu.v.</t>
  </si>
  <si>
    <t>Skoleskyss</t>
  </si>
  <si>
    <t>Menighetsbarnehagen</t>
  </si>
  <si>
    <t>Oppdatert til 2019-regelverk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</si>
</sst>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 #,##0.00_ ;_ * \-#,##0.00_ ;_ * &quot;-&quot;??_ ;_ @_ "/>
    <numFmt numFmtId="165" formatCode="_(* #,##0.00_);_(* \(#,##0.00\);_(* &quot;-&quot;??_);_(@_)"/>
    <numFmt numFmtId="166" formatCode="_(* #,##0.0_);_(* \(#,##0.0\);_(* &quot;-&quot;??_);_(@_)"/>
    <numFmt numFmtId="167" formatCode="_(* #,##0_);_(* \(#,##0\);_(* &quot;-&quot;??_);_(@_)"/>
    <numFmt numFmtId="168" formatCode="#,##0.0"/>
    <numFmt numFmtId="169" formatCode="0.0"/>
    <numFmt numFmtId="170" formatCode="0.000"/>
    <numFmt numFmtId="171" formatCode="0.0\ %"/>
    <numFmt numFmtId="172" formatCode="_ * #,##0_ ;_ * \-#,##0_ ;_ * &quot;-&quot;??_ ;_ @_ "/>
    <numFmt numFmtId="173" formatCode="_(* #,##0.000_);_(* \(#,##0.000\);_(* &quot;-&quot;??_);_(@_)"/>
    <numFmt numFmtId="174" formatCode="_ * #,##0.0_ ;_ * \-#,##0.0_ ;_ * &quot;-&quot;?_ ;_ @_ "/>
  </numFmts>
  <fonts count="32" x14ac:knownFonts="1">
    <font>
      <sz val="10"/>
      <name val="Arial"/>
    </font>
    <font>
      <sz val="11"/>
      <color theme="1"/>
      <name val="Calibri"/>
      <family val="2"/>
      <scheme val="minor"/>
    </font>
    <font>
      <sz val="10"/>
      <name val="Arial"/>
      <family val="2"/>
    </font>
    <font>
      <b/>
      <sz val="10"/>
      <name val="Arial"/>
      <family val="2"/>
    </font>
    <font>
      <sz val="10"/>
      <name val="Arial"/>
      <family val="2"/>
    </font>
    <font>
      <sz val="11"/>
      <color indexed="8"/>
      <name val="Calibri"/>
      <family val="2"/>
    </font>
    <font>
      <sz val="10"/>
      <name val="Arial"/>
      <family val="2"/>
    </font>
    <font>
      <b/>
      <sz val="12"/>
      <name val="Arial"/>
      <family val="2"/>
    </font>
    <font>
      <sz val="10"/>
      <name val="Arial"/>
      <family val="2"/>
    </font>
    <font>
      <sz val="11"/>
      <name val="Arial"/>
      <family val="2"/>
    </font>
    <font>
      <b/>
      <sz val="11"/>
      <name val="Arial"/>
      <family val="2"/>
    </font>
    <font>
      <sz val="11"/>
      <color theme="1"/>
      <name val="Calibri"/>
      <family val="2"/>
      <scheme val="minor"/>
    </font>
    <font>
      <b/>
      <sz val="11"/>
      <color theme="1"/>
      <name val="Arial"/>
      <family val="2"/>
    </font>
    <font>
      <sz val="11"/>
      <color theme="1"/>
      <name val="Arial"/>
      <family val="2"/>
    </font>
    <font>
      <sz val="10"/>
      <color theme="1"/>
      <name val="Arial"/>
      <family val="2"/>
    </font>
    <font>
      <sz val="14"/>
      <name val="Arial"/>
      <family val="2"/>
    </font>
    <font>
      <sz val="16"/>
      <name val="Arial"/>
      <family val="2"/>
    </font>
    <font>
      <b/>
      <sz val="14"/>
      <name val="Arial"/>
      <family val="2"/>
    </font>
    <font>
      <sz val="16"/>
      <color theme="1"/>
      <name val="Arial"/>
      <family val="2"/>
    </font>
    <font>
      <sz val="18"/>
      <name val="Arial"/>
      <family val="2"/>
    </font>
    <font>
      <sz val="10"/>
      <color rgb="FF000000"/>
      <name val="Arial"/>
      <family val="2"/>
    </font>
    <font>
      <sz val="9"/>
      <color indexed="81"/>
      <name val="Tahoma"/>
      <family val="2"/>
    </font>
    <font>
      <b/>
      <sz val="9"/>
      <color indexed="81"/>
      <name val="Tahoma"/>
      <family val="2"/>
    </font>
    <font>
      <sz val="11"/>
      <color rgb="FFFF0000"/>
      <name val="Calibri"/>
      <family val="2"/>
    </font>
    <font>
      <b/>
      <sz val="11"/>
      <color rgb="FFFF0000"/>
      <name val="Arial"/>
      <family val="2"/>
    </font>
    <font>
      <sz val="10"/>
      <color rgb="FFFF0000"/>
      <name val="Arial"/>
      <family val="2"/>
    </font>
    <font>
      <b/>
      <sz val="10"/>
      <color rgb="FFFF0000"/>
      <name val="Arial"/>
      <family val="2"/>
    </font>
    <font>
      <sz val="16"/>
      <color rgb="FFFF0000"/>
      <name val="Arial"/>
      <family val="2"/>
    </font>
    <font>
      <sz val="11"/>
      <color rgb="FFFF0000"/>
      <name val="Arial"/>
      <family val="2"/>
    </font>
    <font>
      <sz val="11"/>
      <color theme="5"/>
      <name val="Arial"/>
      <family val="2"/>
    </font>
    <font>
      <sz val="10"/>
      <color theme="5"/>
      <name val="Arial"/>
      <family val="2"/>
    </font>
    <font>
      <u/>
      <sz val="10"/>
      <color theme="10"/>
      <name val="Arial"/>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29">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style="medium">
        <color indexed="64"/>
      </bottom>
      <diagonal/>
    </border>
    <border>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8">
    <xf numFmtId="0" fontId="0" fillId="0" borderId="0"/>
    <xf numFmtId="165" fontId="2" fillId="0" borderId="0" applyFont="0" applyFill="0" applyBorder="0" applyAlignment="0" applyProtection="0"/>
    <xf numFmtId="165" fontId="4" fillId="0" borderId="0" applyFont="0" applyFill="0" applyBorder="0" applyAlignment="0" applyProtection="0"/>
    <xf numFmtId="165" fontId="8"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9" fontId="2"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8" fillId="0" borderId="0" applyFont="0" applyFill="0" applyBorder="0" applyAlignment="0" applyProtection="0"/>
    <xf numFmtId="165" fontId="4" fillId="0" borderId="0" applyFont="0" applyFill="0" applyBorder="0" applyAlignment="0" applyProtection="0"/>
    <xf numFmtId="0" fontId="1" fillId="0" borderId="0"/>
    <xf numFmtId="164" fontId="1" fillId="0" borderId="0" applyFont="0" applyFill="0" applyBorder="0" applyAlignment="0" applyProtection="0"/>
    <xf numFmtId="0" fontId="20" fillId="0" borderId="0"/>
    <xf numFmtId="0" fontId="31" fillId="0" borderId="0" applyNumberFormat="0" applyFill="0" applyBorder="0" applyAlignment="0" applyProtection="0"/>
  </cellStyleXfs>
  <cellXfs count="283">
    <xf numFmtId="0" fontId="0" fillId="0" borderId="0" xfId="0"/>
    <xf numFmtId="0" fontId="0" fillId="0" borderId="1" xfId="0" applyBorder="1"/>
    <xf numFmtId="0" fontId="0" fillId="0" borderId="0" xfId="0" applyFill="1"/>
    <xf numFmtId="0" fontId="0" fillId="0" borderId="1" xfId="0" applyFill="1" applyBorder="1"/>
    <xf numFmtId="0" fontId="4" fillId="0" borderId="1" xfId="0" applyFont="1" applyBorder="1"/>
    <xf numFmtId="0" fontId="4" fillId="0" borderId="0" xfId="0" applyFont="1" applyFill="1"/>
    <xf numFmtId="167" fontId="6" fillId="0" borderId="0" xfId="1" applyNumberFormat="1" applyFont="1" applyFill="1"/>
    <xf numFmtId="0" fontId="4" fillId="0" borderId="0" xfId="6"/>
    <xf numFmtId="0" fontId="4" fillId="0" borderId="0" xfId="6" applyNumberFormat="1"/>
    <xf numFmtId="3" fontId="4" fillId="0" borderId="0" xfId="6" applyNumberFormat="1"/>
    <xf numFmtId="167" fontId="0" fillId="0" borderId="0" xfId="1" applyNumberFormat="1" applyFont="1" applyFill="1"/>
    <xf numFmtId="167" fontId="6" fillId="0" borderId="1" xfId="1" applyNumberFormat="1" applyFont="1" applyFill="1" applyBorder="1"/>
    <xf numFmtId="167" fontId="0" fillId="0" borderId="0" xfId="0" applyNumberFormat="1" applyFill="1"/>
    <xf numFmtId="167" fontId="0" fillId="0" borderId="1" xfId="0" applyNumberFormat="1" applyFill="1" applyBorder="1"/>
    <xf numFmtId="0" fontId="4" fillId="0" borderId="0" xfId="6" applyFill="1"/>
    <xf numFmtId="49" fontId="4" fillId="0" borderId="0" xfId="6" applyNumberFormat="1" applyFont="1" applyFill="1" applyAlignment="1">
      <alignment horizontal="left"/>
    </xf>
    <xf numFmtId="0" fontId="4" fillId="0" borderId="0" xfId="6" applyFont="1" applyFill="1" applyAlignment="1">
      <alignment horizontal="left"/>
    </xf>
    <xf numFmtId="0" fontId="4" fillId="0" borderId="0" xfId="6" applyFill="1" applyAlignment="1"/>
    <xf numFmtId="3" fontId="0" fillId="0" borderId="0" xfId="2" applyNumberFormat="1" applyFont="1" applyFill="1"/>
    <xf numFmtId="0" fontId="3" fillId="0" borderId="0" xfId="0" applyFont="1"/>
    <xf numFmtId="0" fontId="7" fillId="0" borderId="0" xfId="0" applyFont="1" applyFill="1"/>
    <xf numFmtId="0" fontId="0" fillId="0" borderId="0" xfId="0" applyFill="1" applyAlignment="1">
      <alignment horizontal="right"/>
    </xf>
    <xf numFmtId="171" fontId="0" fillId="0" borderId="0" xfId="0" applyNumberFormat="1" applyFill="1"/>
    <xf numFmtId="9" fontId="0" fillId="0" borderId="0" xfId="0" applyNumberFormat="1" applyFill="1"/>
    <xf numFmtId="9" fontId="0" fillId="0" borderId="1" xfId="0" applyNumberFormat="1" applyFill="1" applyBorder="1"/>
    <xf numFmtId="0" fontId="0" fillId="0" borderId="0" xfId="0" applyFont="1" applyFill="1"/>
    <xf numFmtId="0" fontId="3" fillId="0" borderId="0" xfId="6" applyFont="1" applyFill="1"/>
    <xf numFmtId="166" fontId="0" fillId="0" borderId="0" xfId="1" applyNumberFormat="1" applyFont="1"/>
    <xf numFmtId="166" fontId="0" fillId="0" borderId="1" xfId="1" applyNumberFormat="1" applyFont="1" applyBorder="1"/>
    <xf numFmtId="0" fontId="4" fillId="0" borderId="0" xfId="6" applyFill="1" applyAlignment="1">
      <alignment vertical="center"/>
    </xf>
    <xf numFmtId="3" fontId="0" fillId="0" borderId="0" xfId="1" applyNumberFormat="1" applyFont="1" applyFill="1"/>
    <xf numFmtId="3" fontId="4" fillId="0" borderId="0" xfId="1" applyNumberFormat="1" applyFont="1"/>
    <xf numFmtId="0" fontId="3" fillId="0" borderId="0" xfId="0" applyFont="1" applyFill="1"/>
    <xf numFmtId="0" fontId="12" fillId="0" borderId="0" xfId="0" applyFont="1" applyAlignment="1">
      <alignment wrapText="1"/>
    </xf>
    <xf numFmtId="0" fontId="12" fillId="0" borderId="0" xfId="0" applyFont="1"/>
    <xf numFmtId="0" fontId="12" fillId="0" borderId="0" xfId="0" applyFont="1" applyAlignment="1">
      <alignment horizontal="right"/>
    </xf>
    <xf numFmtId="0" fontId="13" fillId="0" borderId="0" xfId="0" applyFont="1"/>
    <xf numFmtId="0" fontId="13" fillId="0" borderId="1" xfId="0" applyFont="1" applyBorder="1"/>
    <xf numFmtId="0" fontId="9" fillId="0" borderId="0" xfId="0" applyFont="1" applyAlignment="1">
      <alignment wrapText="1"/>
    </xf>
    <xf numFmtId="0" fontId="9" fillId="0" borderId="0" xfId="0" applyFont="1"/>
    <xf numFmtId="0" fontId="9" fillId="0" borderId="0" xfId="0" applyFont="1" applyAlignment="1">
      <alignment horizontal="right"/>
    </xf>
    <xf numFmtId="0" fontId="9" fillId="0" borderId="1" xfId="0" applyFont="1" applyBorder="1"/>
    <xf numFmtId="0" fontId="9" fillId="0" borderId="1" xfId="0" applyFont="1" applyBorder="1" applyAlignment="1">
      <alignment horizontal="right"/>
    </xf>
    <xf numFmtId="0" fontId="10" fillId="0" borderId="0" xfId="0" applyFont="1" applyFill="1" applyBorder="1"/>
    <xf numFmtId="0" fontId="9" fillId="0" borderId="0" xfId="0" applyFont="1" applyBorder="1" applyAlignment="1">
      <alignment horizontal="right"/>
    </xf>
    <xf numFmtId="3" fontId="9" fillId="0" borderId="0" xfId="0" quotePrefix="1" applyNumberFormat="1" applyFont="1" applyFill="1" applyBorder="1"/>
    <xf numFmtId="3" fontId="10" fillId="0" borderId="0" xfId="0" quotePrefix="1" applyNumberFormat="1" applyFont="1" applyFill="1" applyBorder="1"/>
    <xf numFmtId="3" fontId="9" fillId="0" borderId="1" xfId="0" quotePrefix="1" applyNumberFormat="1" applyFont="1" applyFill="1" applyBorder="1"/>
    <xf numFmtId="0" fontId="9" fillId="0" borderId="4" xfId="0" applyFont="1" applyBorder="1"/>
    <xf numFmtId="0" fontId="9" fillId="0" borderId="0" xfId="0" applyFont="1" applyFill="1" applyBorder="1"/>
    <xf numFmtId="0" fontId="9" fillId="0" borderId="1" xfId="0" applyFont="1" applyFill="1" applyBorder="1"/>
    <xf numFmtId="0" fontId="9" fillId="0" borderId="0" xfId="0" applyFont="1" applyFill="1"/>
    <xf numFmtId="169" fontId="9" fillId="0" borderId="0" xfId="0" applyNumberFormat="1" applyFont="1"/>
    <xf numFmtId="9" fontId="9" fillId="0" borderId="0" xfId="7" applyFont="1" applyFill="1"/>
    <xf numFmtId="9" fontId="9" fillId="0" borderId="1" xfId="7" applyFont="1" applyFill="1" applyBorder="1"/>
    <xf numFmtId="9" fontId="9" fillId="0" borderId="0" xfId="7" applyFont="1"/>
    <xf numFmtId="9" fontId="9" fillId="0" borderId="1" xfId="7" applyFont="1" applyBorder="1"/>
    <xf numFmtId="170" fontId="9" fillId="0" borderId="0" xfId="0" applyNumberFormat="1" applyFont="1"/>
    <xf numFmtId="0" fontId="10" fillId="0" borderId="0" xfId="0" applyFont="1"/>
    <xf numFmtId="0" fontId="10" fillId="0" borderId="0" xfId="0" applyFont="1" applyFill="1"/>
    <xf numFmtId="9" fontId="9" fillId="0" borderId="0" xfId="0" applyNumberFormat="1" applyFont="1" applyFill="1"/>
    <xf numFmtId="0" fontId="10" fillId="0" borderId="3" xfId="0" applyFont="1" applyFill="1" applyBorder="1"/>
    <xf numFmtId="0" fontId="9" fillId="0" borderId="3" xfId="0" applyFont="1" applyFill="1" applyBorder="1"/>
    <xf numFmtId="167" fontId="8" fillId="0" borderId="0" xfId="1" applyNumberFormat="1" applyFont="1" applyFill="1"/>
    <xf numFmtId="0" fontId="9" fillId="0" borderId="0" xfId="0" applyFont="1" applyBorder="1"/>
    <xf numFmtId="3" fontId="9" fillId="0" borderId="0" xfId="1" applyNumberFormat="1" applyFont="1" applyFill="1"/>
    <xf numFmtId="3" fontId="9" fillId="0" borderId="1" xfId="1" applyNumberFormat="1" applyFont="1" applyFill="1" applyBorder="1"/>
    <xf numFmtId="3" fontId="9" fillId="0" borderId="0" xfId="1" applyNumberFormat="1" applyFont="1"/>
    <xf numFmtId="3" fontId="9" fillId="0" borderId="4" xfId="1" applyNumberFormat="1" applyFont="1" applyFill="1" applyBorder="1"/>
    <xf numFmtId="3" fontId="9" fillId="0" borderId="0" xfId="1" applyNumberFormat="1" applyFont="1" applyFill="1" applyBorder="1"/>
    <xf numFmtId="3" fontId="9" fillId="0" borderId="0" xfId="0" applyNumberFormat="1" applyFont="1" applyFill="1"/>
    <xf numFmtId="3" fontId="9" fillId="0" borderId="0" xfId="0" applyNumberFormat="1" applyFont="1"/>
    <xf numFmtId="3" fontId="10" fillId="0" borderId="3" xfId="0" applyNumberFormat="1" applyFont="1" applyFill="1" applyBorder="1"/>
    <xf numFmtId="3" fontId="10" fillId="0" borderId="0" xfId="0" applyNumberFormat="1" applyFont="1" applyFill="1"/>
    <xf numFmtId="3" fontId="10" fillId="0" borderId="0" xfId="0" applyNumberFormat="1" applyFont="1" applyAlignment="1">
      <alignment wrapText="1"/>
    </xf>
    <xf numFmtId="3" fontId="9" fillId="2" borderId="0" xfId="1" applyNumberFormat="1" applyFont="1" applyFill="1"/>
    <xf numFmtId="9" fontId="10" fillId="0" borderId="0" xfId="7" applyFont="1" applyFill="1"/>
    <xf numFmtId="0" fontId="0" fillId="2" borderId="2" xfId="0" applyFill="1" applyBorder="1"/>
    <xf numFmtId="0" fontId="4" fillId="0" borderId="0" xfId="6" applyFont="1" applyFill="1"/>
    <xf numFmtId="167" fontId="4" fillId="0" borderId="0" xfId="13" applyNumberFormat="1" applyFont="1" applyFill="1"/>
    <xf numFmtId="0" fontId="3" fillId="0" borderId="2" xfId="6" applyFont="1" applyBorder="1" applyAlignment="1">
      <alignment horizontal="right"/>
    </xf>
    <xf numFmtId="167" fontId="0" fillId="0" borderId="0" xfId="13" applyNumberFormat="1" applyFont="1" applyFill="1"/>
    <xf numFmtId="0" fontId="4" fillId="0" borderId="5" xfId="6" applyFill="1" applyBorder="1"/>
    <xf numFmtId="0" fontId="4" fillId="0" borderId="5" xfId="6" applyFont="1" applyFill="1" applyBorder="1"/>
    <xf numFmtId="0" fontId="4" fillId="0" borderId="0" xfId="6" applyFill="1" applyBorder="1"/>
    <xf numFmtId="0" fontId="4" fillId="0" borderId="0" xfId="6" applyFont="1" applyFill="1" applyBorder="1"/>
    <xf numFmtId="9" fontId="4" fillId="0" borderId="0" xfId="10" applyFont="1" applyFill="1" applyBorder="1"/>
    <xf numFmtId="0" fontId="3" fillId="0" borderId="0" xfId="6" applyFont="1" applyFill="1" applyBorder="1"/>
    <xf numFmtId="10" fontId="0" fillId="0" borderId="0" xfId="10" applyNumberFormat="1" applyFont="1" applyFill="1"/>
    <xf numFmtId="0" fontId="4" fillId="0" borderId="1" xfId="6" applyFill="1" applyBorder="1"/>
    <xf numFmtId="0" fontId="4" fillId="0" borderId="1" xfId="6" applyFont="1" applyFill="1" applyBorder="1"/>
    <xf numFmtId="167" fontId="4" fillId="0" borderId="1" xfId="13" applyNumberFormat="1" applyFont="1" applyFill="1" applyBorder="1"/>
    <xf numFmtId="166" fontId="4" fillId="0" borderId="0" xfId="2" applyNumberFormat="1" applyFont="1" applyFill="1"/>
    <xf numFmtId="166" fontId="0" fillId="0" borderId="1" xfId="2" applyNumberFormat="1" applyFont="1" applyFill="1" applyBorder="1"/>
    <xf numFmtId="166" fontId="4" fillId="0" borderId="1" xfId="2" applyNumberFormat="1" applyFont="1" applyFill="1" applyBorder="1"/>
    <xf numFmtId="166" fontId="0" fillId="0" borderId="0" xfId="2" applyNumberFormat="1" applyFont="1" applyFill="1"/>
    <xf numFmtId="0" fontId="3" fillId="0" borderId="0" xfId="6" applyFont="1"/>
    <xf numFmtId="166" fontId="0" fillId="0" borderId="0" xfId="13" applyNumberFormat="1" applyFont="1"/>
    <xf numFmtId="0" fontId="4" fillId="0" borderId="1" xfId="6" applyBorder="1"/>
    <xf numFmtId="166" fontId="0" fillId="0" borderId="1" xfId="13" applyNumberFormat="1" applyFont="1" applyBorder="1"/>
    <xf numFmtId="0" fontId="4" fillId="0" borderId="1" xfId="6" applyFont="1" applyBorder="1"/>
    <xf numFmtId="166" fontId="4" fillId="0" borderId="1" xfId="6" applyNumberFormat="1" applyBorder="1"/>
    <xf numFmtId="166" fontId="0" fillId="0" borderId="1" xfId="2" applyNumberFormat="1" applyFont="1" applyBorder="1"/>
    <xf numFmtId="0" fontId="4" fillId="2" borderId="0" xfId="6" applyFont="1" applyFill="1"/>
    <xf numFmtId="9" fontId="4" fillId="0" borderId="0" xfId="10" applyFont="1" applyFill="1" applyBorder="1" applyAlignment="1">
      <alignment horizontal="right"/>
    </xf>
    <xf numFmtId="0" fontId="4" fillId="0" borderId="0" xfId="0" applyFont="1"/>
    <xf numFmtId="0" fontId="0" fillId="0" borderId="1" xfId="0" applyFont="1" applyFill="1" applyBorder="1"/>
    <xf numFmtId="0" fontId="4" fillId="2" borderId="2" xfId="6" applyFill="1" applyBorder="1"/>
    <xf numFmtId="0" fontId="4" fillId="2" borderId="2" xfId="6" applyFont="1" applyFill="1" applyBorder="1" applyAlignment="1">
      <alignment horizontal="left"/>
    </xf>
    <xf numFmtId="0" fontId="4" fillId="2" borderId="2" xfId="6" applyFill="1" applyBorder="1" applyAlignment="1"/>
    <xf numFmtId="0" fontId="4" fillId="2" borderId="2" xfId="6" applyNumberFormat="1" applyFill="1" applyBorder="1"/>
    <xf numFmtId="3" fontId="8" fillId="2" borderId="2" xfId="2" applyNumberFormat="1" applyFont="1" applyFill="1" applyBorder="1"/>
    <xf numFmtId="3" fontId="8" fillId="2" borderId="2" xfId="1" applyNumberFormat="1" applyFont="1" applyFill="1" applyBorder="1"/>
    <xf numFmtId="3" fontId="4" fillId="2" borderId="2" xfId="6" applyNumberFormat="1" applyFill="1" applyBorder="1"/>
    <xf numFmtId="166" fontId="8" fillId="2" borderId="2" xfId="1" applyNumberFormat="1" applyFont="1" applyFill="1" applyBorder="1"/>
    <xf numFmtId="167" fontId="9" fillId="0" borderId="0" xfId="1" applyNumberFormat="1" applyFont="1"/>
    <xf numFmtId="168" fontId="9" fillId="2" borderId="0" xfId="1" applyNumberFormat="1" applyFont="1" applyFill="1"/>
    <xf numFmtId="168" fontId="10" fillId="0" borderId="0" xfId="1" applyNumberFormat="1" applyFont="1" applyFill="1"/>
    <xf numFmtId="3" fontId="4" fillId="0" borderId="0" xfId="2" applyNumberFormat="1" applyFont="1" applyFill="1"/>
    <xf numFmtId="165" fontId="4" fillId="0" borderId="0" xfId="1" applyFont="1"/>
    <xf numFmtId="3" fontId="3" fillId="0" borderId="0" xfId="1" applyNumberFormat="1" applyFont="1" applyFill="1"/>
    <xf numFmtId="3" fontId="4" fillId="0" borderId="0" xfId="1" applyNumberFormat="1" applyFont="1" applyFill="1"/>
    <xf numFmtId="49" fontId="4" fillId="2" borderId="2" xfId="6" applyNumberFormat="1" applyFont="1" applyFill="1" applyBorder="1" applyAlignment="1"/>
    <xf numFmtId="0" fontId="4" fillId="0" borderId="0" xfId="6" applyAlignment="1"/>
    <xf numFmtId="0" fontId="0" fillId="0" borderId="0" xfId="0" applyAlignment="1"/>
    <xf numFmtId="49" fontId="4" fillId="2" borderId="2" xfId="6" applyNumberFormat="1" applyFill="1" applyBorder="1" applyAlignment="1"/>
    <xf numFmtId="49" fontId="4" fillId="2" borderId="2" xfId="6" applyNumberFormat="1" applyFill="1" applyBorder="1"/>
    <xf numFmtId="49" fontId="4" fillId="0" borderId="0" xfId="6" applyNumberFormat="1"/>
    <xf numFmtId="49" fontId="0" fillId="0" borderId="0" xfId="0" applyNumberFormat="1"/>
    <xf numFmtId="171" fontId="9" fillId="0" borderId="0" xfId="7" applyNumberFormat="1" applyFont="1" applyBorder="1"/>
    <xf numFmtId="171" fontId="9" fillId="2" borderId="0" xfId="0" applyNumberFormat="1" applyFont="1" applyFill="1" applyBorder="1"/>
    <xf numFmtId="171" fontId="9" fillId="2" borderId="1" xfId="0" applyNumberFormat="1" applyFont="1" applyFill="1" applyBorder="1"/>
    <xf numFmtId="168" fontId="9" fillId="0" borderId="1" xfId="1" applyNumberFormat="1" applyFont="1" applyFill="1" applyBorder="1"/>
    <xf numFmtId="168" fontId="9" fillId="0" borderId="0" xfId="1" applyNumberFormat="1" applyFont="1" applyFill="1"/>
    <xf numFmtId="0" fontId="13" fillId="4" borderId="6" xfId="14" applyFont="1" applyFill="1" applyBorder="1"/>
    <xf numFmtId="0" fontId="13" fillId="4" borderId="8" xfId="14" applyFont="1" applyFill="1" applyBorder="1"/>
    <xf numFmtId="0" fontId="13" fillId="4" borderId="0" xfId="14" applyFont="1" applyFill="1" applyBorder="1"/>
    <xf numFmtId="0" fontId="13" fillId="4" borderId="13" xfId="14" applyFont="1" applyFill="1" applyBorder="1"/>
    <xf numFmtId="0" fontId="13" fillId="4" borderId="14" xfId="14" applyFont="1" applyFill="1" applyBorder="1"/>
    <xf numFmtId="172" fontId="13" fillId="4" borderId="13" xfId="14" applyNumberFormat="1" applyFont="1" applyFill="1" applyBorder="1"/>
    <xf numFmtId="0" fontId="12" fillId="4" borderId="11" xfId="14" applyFont="1" applyFill="1" applyBorder="1"/>
    <xf numFmtId="0" fontId="12" fillId="4" borderId="15" xfId="14" applyFont="1" applyFill="1" applyBorder="1"/>
    <xf numFmtId="172" fontId="12" fillId="4" borderId="12" xfId="14" applyNumberFormat="1" applyFont="1" applyFill="1" applyBorder="1"/>
    <xf numFmtId="0" fontId="12" fillId="4" borderId="14" xfId="14" applyFont="1" applyFill="1" applyBorder="1"/>
    <xf numFmtId="0" fontId="12" fillId="4" borderId="0" xfId="14" applyFont="1" applyFill="1" applyBorder="1"/>
    <xf numFmtId="172" fontId="12" fillId="4" borderId="13" xfId="14" applyNumberFormat="1" applyFont="1" applyFill="1" applyBorder="1"/>
    <xf numFmtId="0" fontId="12" fillId="0" borderId="14" xfId="14" applyFont="1" applyFill="1" applyBorder="1"/>
    <xf numFmtId="0" fontId="12" fillId="0" borderId="0" xfId="14" applyFont="1" applyFill="1" applyBorder="1"/>
    <xf numFmtId="172" fontId="12" fillId="0" borderId="13" xfId="14" applyNumberFormat="1" applyFont="1" applyFill="1" applyBorder="1"/>
    <xf numFmtId="0" fontId="4" fillId="0" borderId="14" xfId="14" applyFont="1" applyFill="1" applyBorder="1"/>
    <xf numFmtId="0" fontId="13" fillId="0" borderId="0" xfId="14" applyFont="1" applyFill="1" applyBorder="1"/>
    <xf numFmtId="0" fontId="13" fillId="0" borderId="13" xfId="14" applyFont="1" applyFill="1" applyBorder="1"/>
    <xf numFmtId="0" fontId="13" fillId="3" borderId="11" xfId="14" applyFont="1" applyFill="1" applyBorder="1"/>
    <xf numFmtId="0" fontId="13" fillId="3" borderId="15" xfId="14" applyFont="1" applyFill="1" applyBorder="1"/>
    <xf numFmtId="0" fontId="13" fillId="0" borderId="15" xfId="14" applyFont="1" applyBorder="1" applyAlignment="1">
      <alignment horizontal="right"/>
    </xf>
    <xf numFmtId="0" fontId="13" fillId="0" borderId="12" xfId="14" applyFont="1" applyBorder="1"/>
    <xf numFmtId="0" fontId="4" fillId="3" borderId="6" xfId="0" applyFont="1" applyFill="1" applyBorder="1"/>
    <xf numFmtId="0" fontId="13" fillId="4" borderId="9" xfId="14" applyFont="1" applyFill="1" applyBorder="1"/>
    <xf numFmtId="0" fontId="13" fillId="4" borderId="5" xfId="14" applyFont="1" applyFill="1" applyBorder="1"/>
    <xf numFmtId="0" fontId="13" fillId="4" borderId="10" xfId="14" applyFont="1" applyFill="1" applyBorder="1"/>
    <xf numFmtId="0" fontId="4" fillId="0" borderId="0" xfId="0" applyFont="1" applyAlignment="1">
      <alignment wrapText="1"/>
    </xf>
    <xf numFmtId="0" fontId="14" fillId="4" borderId="7" xfId="14" applyFont="1" applyFill="1" applyBorder="1"/>
    <xf numFmtId="0" fontId="14" fillId="4" borderId="9" xfId="14" applyFont="1" applyFill="1" applyBorder="1"/>
    <xf numFmtId="0" fontId="14" fillId="4" borderId="0" xfId="14" applyFont="1" applyFill="1" applyBorder="1"/>
    <xf numFmtId="0" fontId="4" fillId="4" borderId="0" xfId="0" applyFont="1" applyFill="1" applyBorder="1"/>
    <xf numFmtId="0" fontId="18" fillId="4" borderId="14" xfId="14" applyFont="1" applyFill="1" applyBorder="1"/>
    <xf numFmtId="2" fontId="13" fillId="4" borderId="13" xfId="14" applyNumberFormat="1" applyFont="1" applyFill="1" applyBorder="1"/>
    <xf numFmtId="0" fontId="17" fillId="4" borderId="14" xfId="14" applyFont="1" applyFill="1" applyBorder="1" applyAlignment="1">
      <alignment wrapText="1"/>
    </xf>
    <xf numFmtId="0" fontId="4" fillId="4" borderId="0" xfId="0" applyFont="1" applyFill="1" applyBorder="1" applyAlignment="1">
      <alignment wrapText="1"/>
    </xf>
    <xf numFmtId="0" fontId="4" fillId="4" borderId="0" xfId="0" applyFont="1" applyFill="1" applyBorder="1" applyAlignment="1">
      <alignment horizontal="right" wrapText="1"/>
    </xf>
    <xf numFmtId="0" fontId="4" fillId="4" borderId="13" xfId="0" applyFont="1" applyFill="1" applyBorder="1" applyAlignment="1">
      <alignment horizontal="right" wrapText="1"/>
    </xf>
    <xf numFmtId="0" fontId="17" fillId="4" borderId="14" xfId="14" applyFont="1" applyFill="1" applyBorder="1"/>
    <xf numFmtId="0" fontId="4" fillId="4" borderId="0" xfId="0" applyFont="1" applyFill="1" applyBorder="1" applyAlignment="1">
      <alignment horizontal="right"/>
    </xf>
    <xf numFmtId="0" fontId="4" fillId="4" borderId="13" xfId="0" applyFont="1" applyFill="1" applyBorder="1" applyAlignment="1">
      <alignment horizontal="right"/>
    </xf>
    <xf numFmtId="0" fontId="16" fillId="4" borderId="14" xfId="0" applyFont="1" applyFill="1" applyBorder="1"/>
    <xf numFmtId="0" fontId="4" fillId="4" borderId="13" xfId="0" applyFont="1" applyFill="1" applyBorder="1"/>
    <xf numFmtId="0" fontId="4" fillId="4" borderId="14" xfId="0" applyFont="1" applyFill="1" applyBorder="1"/>
    <xf numFmtId="3" fontId="4" fillId="4" borderId="0" xfId="0" applyNumberFormat="1" applyFont="1" applyFill="1" applyBorder="1"/>
    <xf numFmtId="10" fontId="4" fillId="4" borderId="0" xfId="0" applyNumberFormat="1" applyFont="1" applyFill="1" applyBorder="1"/>
    <xf numFmtId="169" fontId="4" fillId="4" borderId="0" xfId="0" applyNumberFormat="1" applyFont="1" applyFill="1" applyBorder="1"/>
    <xf numFmtId="165" fontId="4" fillId="4" borderId="0" xfId="1" applyFont="1" applyFill="1" applyBorder="1"/>
    <xf numFmtId="0" fontId="14" fillId="4" borderId="14" xfId="14" applyFont="1" applyFill="1" applyBorder="1"/>
    <xf numFmtId="0" fontId="19" fillId="3" borderId="7" xfId="14" applyFont="1" applyFill="1" applyBorder="1"/>
    <xf numFmtId="0" fontId="15" fillId="3" borderId="8" xfId="0" applyFont="1" applyFill="1" applyBorder="1"/>
    <xf numFmtId="0" fontId="3" fillId="0" borderId="0" xfId="0" applyFont="1" applyFill="1" applyBorder="1" applyAlignment="1">
      <alignment wrapText="1"/>
    </xf>
    <xf numFmtId="0" fontId="3" fillId="0" borderId="0" xfId="0" applyFont="1" applyFill="1" applyBorder="1"/>
    <xf numFmtId="0" fontId="0" fillId="2" borderId="0" xfId="0" applyFill="1" applyBorder="1"/>
    <xf numFmtId="0" fontId="0" fillId="2" borderId="0" xfId="0" applyFill="1" applyBorder="1" applyAlignment="1">
      <alignment horizontal="right"/>
    </xf>
    <xf numFmtId="0" fontId="0" fillId="0" borderId="0" xfId="0" applyFill="1" applyBorder="1"/>
    <xf numFmtId="167" fontId="4" fillId="2" borderId="0" xfId="11" applyNumberFormat="1" applyFont="1" applyFill="1" applyBorder="1"/>
    <xf numFmtId="174" fontId="4" fillId="0" borderId="0" xfId="6" applyNumberFormat="1" applyFill="1"/>
    <xf numFmtId="166" fontId="0" fillId="0" borderId="0" xfId="2" applyNumberFormat="1" applyFont="1" applyFill="1" applyBorder="1"/>
    <xf numFmtId="166" fontId="4" fillId="0" borderId="0" xfId="2" applyNumberFormat="1" applyFont="1" applyFill="1" applyBorder="1"/>
    <xf numFmtId="166" fontId="0" fillId="0" borderId="0" xfId="0" applyNumberFormat="1" applyFill="1" applyBorder="1"/>
    <xf numFmtId="0" fontId="0" fillId="0" borderId="0" xfId="0" applyBorder="1"/>
    <xf numFmtId="166" fontId="0" fillId="0" borderId="0" xfId="1" applyNumberFormat="1" applyFont="1" applyBorder="1"/>
    <xf numFmtId="167" fontId="14" fillId="4" borderId="0" xfId="1" applyNumberFormat="1" applyFont="1" applyFill="1" applyBorder="1"/>
    <xf numFmtId="173" fontId="14" fillId="4" borderId="0" xfId="14" applyNumberFormat="1" applyFont="1" applyFill="1" applyBorder="1"/>
    <xf numFmtId="172" fontId="14" fillId="4" borderId="13" xfId="15" applyNumberFormat="1" applyFont="1" applyFill="1" applyBorder="1"/>
    <xf numFmtId="0" fontId="4" fillId="4" borderId="14" xfId="14" applyFont="1" applyFill="1" applyBorder="1"/>
    <xf numFmtId="167" fontId="14" fillId="4" borderId="0" xfId="14" applyNumberFormat="1" applyFont="1" applyFill="1" applyBorder="1"/>
    <xf numFmtId="0" fontId="10" fillId="4" borderId="16" xfId="0" applyFont="1" applyFill="1" applyBorder="1"/>
    <xf numFmtId="0" fontId="10" fillId="4" borderId="1" xfId="0" applyFont="1" applyFill="1" applyBorder="1"/>
    <xf numFmtId="167" fontId="10" fillId="4" borderId="1" xfId="1" applyNumberFormat="1" applyFont="1" applyFill="1" applyBorder="1"/>
    <xf numFmtId="167" fontId="10" fillId="4" borderId="17" xfId="1" applyNumberFormat="1" applyFont="1" applyFill="1" applyBorder="1"/>
    <xf numFmtId="0" fontId="10" fillId="4" borderId="7" xfId="0" applyFont="1" applyFill="1" applyBorder="1"/>
    <xf numFmtId="0" fontId="10" fillId="4" borderId="6" xfId="0" applyFont="1" applyFill="1" applyBorder="1" applyAlignment="1">
      <alignment horizontal="right"/>
    </xf>
    <xf numFmtId="167" fontId="10" fillId="4" borderId="6" xfId="1" applyNumberFormat="1" applyFont="1" applyFill="1" applyBorder="1"/>
    <xf numFmtId="173" fontId="10" fillId="4" borderId="6" xfId="1" applyNumberFormat="1" applyFont="1" applyFill="1" applyBorder="1"/>
    <xf numFmtId="167" fontId="10" fillId="4" borderId="8" xfId="1" applyNumberFormat="1" applyFont="1" applyFill="1" applyBorder="1"/>
    <xf numFmtId="0" fontId="10" fillId="4" borderId="18" xfId="0" applyFont="1" applyFill="1" applyBorder="1"/>
    <xf numFmtId="0" fontId="10" fillId="4" borderId="4" xfId="0" applyFont="1" applyFill="1" applyBorder="1" applyAlignment="1">
      <alignment horizontal="right"/>
    </xf>
    <xf numFmtId="167" fontId="10" fillId="4" borderId="4" xfId="1" applyNumberFormat="1" applyFont="1" applyFill="1" applyBorder="1"/>
    <xf numFmtId="173" fontId="10" fillId="4" borderId="4" xfId="1" applyNumberFormat="1" applyFont="1" applyFill="1" applyBorder="1"/>
    <xf numFmtId="167" fontId="10" fillId="4" borderId="19" xfId="1" applyNumberFormat="1" applyFont="1" applyFill="1" applyBorder="1"/>
    <xf numFmtId="0" fontId="4" fillId="0" borderId="0" xfId="0" applyFont="1" applyFill="1" applyBorder="1"/>
    <xf numFmtId="167" fontId="0" fillId="0" borderId="0" xfId="1" applyNumberFormat="1" applyFont="1" applyFill="1" applyBorder="1"/>
    <xf numFmtId="0" fontId="0" fillId="0" borderId="20" xfId="0" applyFill="1" applyBorder="1" applyAlignment="1">
      <alignment horizontal="right"/>
    </xf>
    <xf numFmtId="0" fontId="0" fillId="0" borderId="20" xfId="0" applyFill="1" applyBorder="1"/>
    <xf numFmtId="0" fontId="4" fillId="0" borderId="0" xfId="0" applyFont="1" applyAlignment="1"/>
    <xf numFmtId="9" fontId="9" fillId="2" borderId="0" xfId="0" applyNumberFormat="1" applyFont="1" applyFill="1" applyAlignment="1">
      <alignment horizontal="right"/>
    </xf>
    <xf numFmtId="10" fontId="9" fillId="2" borderId="0" xfId="0" applyNumberFormat="1" applyFont="1" applyFill="1" applyAlignment="1">
      <alignment horizontal="right"/>
    </xf>
    <xf numFmtId="167" fontId="9" fillId="0" borderId="0" xfId="1" applyNumberFormat="1" applyFont="1" applyFill="1" applyBorder="1"/>
    <xf numFmtId="0" fontId="2" fillId="0" borderId="0" xfId="6" applyFont="1" applyFill="1"/>
    <xf numFmtId="0" fontId="9" fillId="0" borderId="0" xfId="0" quotePrefix="1" applyFont="1" applyAlignment="1">
      <alignment horizontal="right"/>
    </xf>
    <xf numFmtId="0" fontId="12" fillId="2" borderId="11" xfId="14" applyFont="1" applyFill="1" applyBorder="1"/>
    <xf numFmtId="0" fontId="13" fillId="2" borderId="12" xfId="14" applyFont="1" applyFill="1" applyBorder="1"/>
    <xf numFmtId="2" fontId="13" fillId="2" borderId="2" xfId="14" applyNumberFormat="1" applyFont="1" applyFill="1" applyBorder="1"/>
    <xf numFmtId="0" fontId="13" fillId="2" borderId="2" xfId="14" applyFont="1" applyFill="1" applyBorder="1"/>
    <xf numFmtId="49" fontId="2" fillId="0" borderId="0" xfId="6" applyNumberFormat="1" applyFont="1" applyFill="1" applyAlignment="1">
      <alignment horizontal="left"/>
    </xf>
    <xf numFmtId="0" fontId="2" fillId="0" borderId="0" xfId="6" applyFont="1" applyFill="1" applyAlignment="1">
      <alignment horizontal="left"/>
    </xf>
    <xf numFmtId="167" fontId="2" fillId="0" borderId="0" xfId="1" applyNumberFormat="1" applyFont="1" applyFill="1"/>
    <xf numFmtId="49" fontId="2" fillId="2" borderId="2" xfId="6" applyNumberFormat="1" applyFont="1" applyFill="1" applyBorder="1" applyAlignment="1">
      <alignment horizontal="left"/>
    </xf>
    <xf numFmtId="0" fontId="2" fillId="2" borderId="2" xfId="6" applyFont="1" applyFill="1" applyBorder="1" applyAlignment="1">
      <alignment horizontal="left"/>
    </xf>
    <xf numFmtId="3" fontId="2" fillId="2" borderId="2" xfId="2" applyNumberFormat="1" applyFont="1" applyFill="1" applyBorder="1"/>
    <xf numFmtId="3" fontId="2" fillId="2" borderId="2" xfId="1" applyNumberFormat="1" applyFont="1" applyFill="1" applyBorder="1"/>
    <xf numFmtId="167" fontId="2" fillId="2" borderId="2" xfId="1" applyNumberFormat="1" applyFont="1" applyFill="1" applyBorder="1"/>
    <xf numFmtId="3" fontId="2" fillId="0" borderId="0" xfId="1" applyNumberFormat="1" applyFont="1" applyFill="1"/>
    <xf numFmtId="167" fontId="2" fillId="0" borderId="0" xfId="1" applyNumberFormat="1" applyFont="1"/>
    <xf numFmtId="167" fontId="2" fillId="2" borderId="2" xfId="1" quotePrefix="1" applyNumberFormat="1" applyFont="1" applyFill="1" applyBorder="1"/>
    <xf numFmtId="3" fontId="2" fillId="0" borderId="0" xfId="1" applyNumberFormat="1" applyFont="1"/>
    <xf numFmtId="0" fontId="0" fillId="0" borderId="0" xfId="0" pivotButton="1"/>
    <xf numFmtId="0" fontId="0" fillId="0" borderId="0" xfId="0" applyAlignment="1">
      <alignment horizontal="left"/>
    </xf>
    <xf numFmtId="3" fontId="0" fillId="0" borderId="0" xfId="0" applyNumberFormat="1"/>
    <xf numFmtId="49" fontId="2" fillId="2" borderId="2" xfId="6" applyNumberFormat="1" applyFont="1" applyFill="1" applyBorder="1" applyAlignment="1"/>
    <xf numFmtId="167" fontId="2" fillId="2" borderId="0" xfId="11" applyNumberFormat="1" applyFont="1" applyFill="1" applyBorder="1"/>
    <xf numFmtId="0" fontId="23" fillId="0" borderId="0" xfId="0" applyFont="1" applyAlignment="1">
      <alignment vertical="center"/>
    </xf>
    <xf numFmtId="0" fontId="10" fillId="0" borderId="5" xfId="0" applyFont="1" applyBorder="1"/>
    <xf numFmtId="0" fontId="9" fillId="0" borderId="5" xfId="0" applyFont="1" applyBorder="1"/>
    <xf numFmtId="167" fontId="9" fillId="0" borderId="5" xfId="1" applyNumberFormat="1" applyFont="1" applyFill="1" applyBorder="1"/>
    <xf numFmtId="0" fontId="12" fillId="0" borderId="21" xfId="0" applyFont="1" applyBorder="1"/>
    <xf numFmtId="0" fontId="9" fillId="0" borderId="21" xfId="0" applyFont="1" applyBorder="1"/>
    <xf numFmtId="3" fontId="9" fillId="0" borderId="21" xfId="0" applyNumberFormat="1" applyFont="1" applyBorder="1"/>
    <xf numFmtId="173" fontId="24" fillId="4" borderId="1" xfId="1" applyNumberFormat="1" applyFont="1" applyFill="1" applyBorder="1"/>
    <xf numFmtId="0" fontId="2" fillId="0" borderId="0" xfId="0" applyFont="1"/>
    <xf numFmtId="0" fontId="25" fillId="0" borderId="0" xfId="0" applyFont="1"/>
    <xf numFmtId="0" fontId="25" fillId="4" borderId="14" xfId="14" applyFont="1" applyFill="1" applyBorder="1"/>
    <xf numFmtId="0" fontId="25" fillId="4" borderId="14" xfId="14" quotePrefix="1" applyFont="1" applyFill="1" applyBorder="1"/>
    <xf numFmtId="167" fontId="13" fillId="4" borderId="0" xfId="1" applyNumberFormat="1" applyFont="1" applyFill="1" applyBorder="1"/>
    <xf numFmtId="0" fontId="25" fillId="4" borderId="14" xfId="0" quotePrefix="1" applyFont="1" applyFill="1" applyBorder="1"/>
    <xf numFmtId="14" fontId="0" fillId="0" borderId="0" xfId="0" applyNumberFormat="1"/>
    <xf numFmtId="0" fontId="28" fillId="0" borderId="0" xfId="0" applyFont="1"/>
    <xf numFmtId="0" fontId="25" fillId="0" borderId="0" xfId="6" applyFont="1" applyFill="1"/>
    <xf numFmtId="0" fontId="29" fillId="0" borderId="0" xfId="0" applyFont="1"/>
    <xf numFmtId="0" fontId="30" fillId="0" borderId="0" xfId="6" applyFont="1" applyFill="1"/>
    <xf numFmtId="0" fontId="9" fillId="0" borderId="22" xfId="0" applyFont="1" applyBorder="1"/>
    <xf numFmtId="0" fontId="9" fillId="0" borderId="23" xfId="0" applyFont="1" applyBorder="1"/>
    <xf numFmtId="0" fontId="9" fillId="0" borderId="24" xfId="0" applyFont="1" applyBorder="1"/>
    <xf numFmtId="0" fontId="31" fillId="0" borderId="25" xfId="17" applyBorder="1"/>
    <xf numFmtId="0" fontId="9" fillId="0" borderId="26" xfId="0" applyFont="1" applyBorder="1"/>
    <xf numFmtId="0" fontId="9" fillId="0" borderId="27" xfId="0" applyFont="1" applyBorder="1"/>
    <xf numFmtId="0" fontId="9" fillId="0" borderId="3" xfId="0" applyFont="1" applyBorder="1"/>
    <xf numFmtId="0" fontId="9" fillId="0" borderId="28" xfId="0" applyFont="1" applyBorder="1"/>
    <xf numFmtId="0" fontId="24" fillId="0" borderId="0" xfId="0" applyFont="1" applyFill="1"/>
    <xf numFmtId="0" fontId="2" fillId="0" borderId="0" xfId="0" applyFont="1" applyFill="1"/>
    <xf numFmtId="0" fontId="25" fillId="0" borderId="0" xfId="0" applyFont="1" applyFill="1"/>
    <xf numFmtId="0" fontId="0" fillId="2" borderId="0" xfId="0" applyFill="1"/>
    <xf numFmtId="0" fontId="31" fillId="0" borderId="0" xfId="17" applyFill="1"/>
    <xf numFmtId="0" fontId="0" fillId="0" borderId="5" xfId="0" applyFill="1" applyBorder="1"/>
    <xf numFmtId="0" fontId="25" fillId="0" borderId="5" xfId="0" applyFont="1" applyFill="1" applyBorder="1"/>
    <xf numFmtId="166" fontId="2" fillId="2" borderId="2" xfId="4" applyNumberFormat="1" applyFont="1" applyFill="1" applyBorder="1"/>
    <xf numFmtId="166" fontId="2" fillId="2" borderId="2" xfId="1" applyNumberFormat="1" applyFont="1" applyFill="1" applyBorder="1"/>
    <xf numFmtId="3" fontId="2" fillId="2" borderId="0" xfId="1" applyNumberFormat="1" applyFont="1" applyFill="1" applyBorder="1"/>
  </cellXfs>
  <cellStyles count="18">
    <cellStyle name="Hyperkobling" xfId="17" builtinId="8"/>
    <cellStyle name="Komma" xfId="1" builtinId="3"/>
    <cellStyle name="Komma 2" xfId="2"/>
    <cellStyle name="Komma 3" xfId="3"/>
    <cellStyle name="Komma 3 2" xfId="4"/>
    <cellStyle name="Komma 4" xfId="15"/>
    <cellStyle name="Normal" xfId="0" builtinId="0"/>
    <cellStyle name="Normal 2" xfId="5"/>
    <cellStyle name="Normal 3" xfId="6"/>
    <cellStyle name="Normal 4" xfId="14"/>
    <cellStyle name="Normal 5" xfId="16"/>
    <cellStyle name="Prosent" xfId="7" builtinId="5"/>
    <cellStyle name="Prosent 2" xfId="8"/>
    <cellStyle name="Prosent 3" xfId="9"/>
    <cellStyle name="Prosent 3 2" xfId="10"/>
    <cellStyle name="Tusenskille 2" xfId="11"/>
    <cellStyle name="Tusenskille 3" xfId="12"/>
    <cellStyle name="Tusenskille 3 2" xfId="13"/>
  </cellStyles>
  <dxfs count="15">
    <dxf>
      <numFmt numFmtId="3" formatCode="#,##0"/>
    </dxf>
    <dxf>
      <numFmt numFmtId="3" formatCode="#,##0"/>
    </dxf>
    <dxf>
      <numFmt numFmtId="3" formatCode="#,##0"/>
    </dxf>
    <dxf>
      <numFmt numFmtId="166" formatCode="_(* #,##0.0_);_(* \(#,##0.0\);_(* &quot;-&quot;??_);_(@_)"/>
    </dxf>
    <dxf>
      <numFmt numFmtId="166" formatCode="_(* #,##0.0_);_(* \(#,##0.0\);_(* &quot;-&quot;??_);_(@_)"/>
    </dxf>
    <dxf>
      <numFmt numFmtId="166" formatCode="_(* #,##0.0_);_(* \(#,##0.0\);_(* &quot;-&quot;??_);_(@_)"/>
    </dxf>
    <dxf>
      <numFmt numFmtId="3" formatCode="#,##0"/>
    </dxf>
    <dxf>
      <numFmt numFmtId="3" formatCode="#,##0"/>
    </dxf>
    <dxf>
      <numFmt numFmtId="3" formatCode="#,##0"/>
    </dxf>
    <dxf>
      <numFmt numFmtId="3" formatCode="#,##0"/>
    </dxf>
    <dxf>
      <numFmt numFmtId="167" formatCode="_(* #,##0_);_(* \(#,##0\);_(* &quot;-&quot;??_);_(@_)"/>
    </dxf>
    <dxf>
      <numFmt numFmtId="3" formatCode="#,##0"/>
    </dxf>
    <dxf>
      <numFmt numFmtId="167" formatCode="_(* #,##0_);_(* \(#,##0\);_(* &quot;-&quot;??_);_(@_)"/>
    </dxf>
    <dxf>
      <numFmt numFmtId="166" formatCode="_(* #,##0.0_);_(* \(#,##0.0\);_(* &quot;-&quot;??_);_(@_)"/>
    </dxf>
    <dxf>
      <numFmt numFmtId="165" formatCode="_(* #,##0.00_);_(* \(#,##0.00\);_(* &quot;-&quot;??_);_(@_)"/>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s>
</file>

<file path=xl/drawings/_rels/drawing1.xml.rels><?xml version="1.0" encoding="UTF-8" standalone="yes"?>
<Relationships xmlns="http://schemas.openxmlformats.org/package/2006/relationships"><Relationship Id="rId1" Type="http://schemas.openxmlformats.org/officeDocument/2006/relationships/hyperlink" Target="https://lovdata.no/forskrift/2015-10-09-1166/&#167;6"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640080</xdr:colOff>
      <xdr:row>147</xdr:row>
      <xdr:rowOff>160021</xdr:rowOff>
    </xdr:to>
    <xdr:sp macro="" textlink="">
      <xdr:nvSpPr>
        <xdr:cNvPr id="3" name="TekstSylinder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0" y="167640"/>
          <a:ext cx="10942320" cy="24803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Dette er en veileder. </a:t>
          </a:r>
          <a:r>
            <a:rPr lang="nb-NO" sz="1100" baseline="0">
              <a:solidFill>
                <a:schemeClr val="dk1"/>
              </a:solidFill>
              <a:effectLst/>
              <a:latin typeface="+mn-lt"/>
              <a:ea typeface="+mn-ea"/>
              <a:cs typeface="+mn-cs"/>
            </a:rPr>
            <a:t>Kommunen velger selv om veilederen skal brukes.</a:t>
          </a:r>
          <a:r>
            <a:rPr lang="nb-NO" sz="1100" baseline="0"/>
            <a:t> Den er basert på Forskrift om tildeling av tilskudd til private barnehager av 9.10.2015, nr 1166 og Kostraveilederen fra KMD. </a:t>
          </a:r>
        </a:p>
        <a:p>
          <a:endParaRPr lang="nb-NO" sz="1100" baseline="0"/>
        </a:p>
        <a:p>
          <a:endParaRPr lang="nb-NO" sz="1100" baseline="0"/>
        </a:p>
        <a:p>
          <a:r>
            <a:rPr lang="nb-NO" sz="1100" b="1" baseline="0"/>
            <a:t>Veilederen er oppdatert pr: 07.06.2019.</a:t>
          </a:r>
        </a:p>
        <a:p>
          <a:endParaRPr lang="nb-NO" sz="1100"/>
        </a:p>
        <a:p>
          <a:r>
            <a:rPr lang="nb-NO" sz="1100" b="1"/>
            <a:t>Tilskuddsberegning-modellen</a:t>
          </a:r>
        </a:p>
        <a:p>
          <a:r>
            <a:rPr lang="nb-NO" sz="1100"/>
            <a:t>Modellen beregner tilskudd til private barnehager på grunnlag av kommunal selvkost,</a:t>
          </a:r>
          <a:r>
            <a:rPr lang="nb-NO" sz="1100" baseline="0"/>
            <a:t> antall barn i kommunale barnehager, barnehagens byggeår og barnetall i private barnehager.  Modellen er tilpasset ordinære private barnehager. </a:t>
          </a:r>
        </a:p>
        <a:p>
          <a:endParaRPr lang="nb-NO" sz="1100" baseline="0"/>
        </a:p>
        <a:p>
          <a:r>
            <a:rPr lang="nb-NO" sz="1100" i="1" baseline="0"/>
            <a:t>For å beregne tilskudd til familiebarnehager</a:t>
          </a:r>
          <a:r>
            <a:rPr lang="nb-NO" sz="1100" baseline="0"/>
            <a:t>: bytt ut vekten for små barn til 1,25 og velg riktige satser for kapitaltilskudd.  </a:t>
          </a:r>
        </a:p>
        <a:p>
          <a:endParaRPr lang="nb-NO" sz="1100" baseline="0"/>
        </a:p>
        <a:p>
          <a:r>
            <a:rPr lang="nb-NO" sz="1100" baseline="0"/>
            <a:t>Alle felter kommunen må fylle ut er merket med gult.  </a:t>
          </a:r>
        </a:p>
        <a:p>
          <a:endParaRPr lang="nb-NO" sz="1100" baseline="0"/>
        </a:p>
        <a:p>
          <a:r>
            <a:rPr lang="nb-NO" sz="1100" baseline="0"/>
            <a:t>Modellen </a:t>
          </a:r>
          <a:r>
            <a:rPr lang="nb-NO" sz="1100"/>
            <a:t>inneholder</a:t>
          </a:r>
          <a:r>
            <a:rPr lang="nb-NO" sz="1100" baseline="0"/>
            <a:t> ni ark:</a:t>
          </a:r>
        </a:p>
        <a:p>
          <a:endParaRPr lang="nb-NO" sz="1100" baseline="0"/>
        </a:p>
        <a:p>
          <a:r>
            <a:rPr lang="nb-NO" sz="1100" b="1" baseline="0"/>
            <a:t>1a og 1b. Årsmelding: </a:t>
          </a:r>
        </a:p>
        <a:p>
          <a:endParaRPr lang="nb-NO" sz="1100" b="1" baseline="0"/>
        </a:p>
        <a:p>
          <a:r>
            <a:rPr lang="nb-NO" sz="1100" baseline="0"/>
            <a:t>Her registreres årsmeldinger for alle kommunale barnehager. Modellen beregner antall heltidsbarn over tre år og under tre år ved årets start og slutt.  For årets start bruker vi årsmelding per 15.12 året før regnskapsåret. Årsmelding ved årets slutt er årsmeldingen per 15.12 i regnskapsåret. Sum heltidsbarn over og under 3 år overføres til ark 4 Selvkost. Ved nytt år endrer du årstallet øverst til venstre i regnearket (fødselsår for 0-åringer), så oppdateres alle årstall.</a:t>
          </a:r>
        </a:p>
        <a:p>
          <a:endParaRPr lang="nb-NO" sz="1100" baseline="0"/>
        </a:p>
        <a:p>
          <a:r>
            <a:rPr lang="nb-NO" sz="1100" i="1" baseline="0"/>
            <a:t>Kommuner som benytter seg av flere tellinger pr. år må dokumentere disse og gjøre tilpasninger av malen selv. </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aseline="0"/>
            <a:t>Årsverk per barnehage er nødvendig for å beregne nøkkeltall, spesielt pensjonsutgift per årsverk. Her registreres bemanning knyttet til Kostrafunksjon 201-Barnehager, såkalt "basisvirksomhet". </a:t>
          </a:r>
          <a:r>
            <a:rPr lang="nb-NO" sz="1100" baseline="0">
              <a:solidFill>
                <a:schemeClr val="dk1"/>
              </a:solidFill>
              <a:effectLst/>
              <a:latin typeface="+mn-lt"/>
              <a:ea typeface="+mn-ea"/>
              <a:cs typeface="+mn-cs"/>
            </a:rPr>
            <a:t>Data hentes fra barnehagenes årsmelding, kategoriene styrer, ped.ledere, fagarbeidere og assistenter, ikke  andre typer stillinger. </a:t>
          </a:r>
          <a:endParaRPr lang="nb-NO">
            <a:effectLst/>
          </a:endParaRPr>
        </a:p>
        <a:p>
          <a:r>
            <a:rPr lang="nb-NO" sz="1100" baseline="0"/>
            <a:t> Altså ikke  styrkingstiltak  (assistent til funksjonshemmede, støttepedagog, assistent minoriteter) eller støttepersonell (vaktmester, renholdere eller sekretærer).  </a:t>
          </a:r>
        </a:p>
        <a:p>
          <a:endParaRPr lang="nb-NO" sz="1100" baseline="0"/>
        </a:p>
        <a:p>
          <a:endParaRPr lang="nb-NO" sz="1100" baseline="0"/>
        </a:p>
        <a:p>
          <a:r>
            <a:rPr lang="nb-NO" sz="1100" b="1" baseline="0"/>
            <a:t>2  Økonomirapport funksjon 201 og  3. Økonomirapport funksjon 221: </a:t>
          </a:r>
        </a:p>
        <a:p>
          <a:endParaRPr lang="nb-NO" sz="1100" b="1" baseline="0"/>
        </a:p>
        <a:p>
          <a:pPr marL="0" marR="0" indent="0" defTabSz="914400" eaLnBrk="1" fontAlgn="auto" latinLnBrk="0" hangingPunct="1">
            <a:lnSpc>
              <a:spcPct val="100000"/>
            </a:lnSpc>
            <a:spcBef>
              <a:spcPts val="0"/>
            </a:spcBef>
            <a:spcAft>
              <a:spcPts val="0"/>
            </a:spcAft>
            <a:buClrTx/>
            <a:buSzTx/>
            <a:buFontTx/>
            <a:buNone/>
            <a:tabLst/>
            <a:defRPr/>
          </a:pPr>
          <a:r>
            <a:rPr lang="nb-NO" sz="1100"/>
            <a:t>Modellen  kobler</a:t>
          </a:r>
          <a:r>
            <a:rPr lang="nb-NO" sz="1100" baseline="0"/>
            <a:t> tilskuddsreglene til Kostrareglene. A</a:t>
          </a:r>
          <a:r>
            <a:rPr lang="nb-NO" sz="1100"/>
            <a:t>lle  relevante driftsutgifter i de kommunale barnehagene føres på funksjonene  201</a:t>
          </a:r>
          <a:r>
            <a:rPr lang="nb-NO" sz="1100" baseline="0"/>
            <a:t> Førskole (ordinært</a:t>
          </a:r>
          <a:r>
            <a:rPr lang="nb-NO" sz="1100"/>
            <a:t> tilbud) og 221 barnehagelokaler. Funksjon 211 - styrkingstiltak</a:t>
          </a:r>
          <a:r>
            <a:rPr lang="nb-NO" sz="1100" baseline="0"/>
            <a:t> omfatter tiltak for barn med spesielle behov og skal ikke inngå i selvkostberegningen. </a:t>
          </a:r>
          <a:endParaRPr lang="nb-NO" sz="1100"/>
        </a:p>
        <a:p>
          <a:pPr marL="0" marR="0" indent="0" defTabSz="914400" eaLnBrk="1" fontAlgn="auto" latinLnBrk="0" hangingPunct="1">
            <a:lnSpc>
              <a:spcPct val="100000"/>
            </a:lnSpc>
            <a:spcBef>
              <a:spcPts val="0"/>
            </a:spcBef>
            <a:spcAft>
              <a:spcPts val="0"/>
            </a:spcAft>
            <a:buClrTx/>
            <a:buSzTx/>
            <a:buFontTx/>
            <a:buNone/>
            <a:tabLst/>
            <a:defRPr/>
          </a:pPr>
          <a:endParaRPr lang="nb-NO" sz="1100"/>
        </a:p>
        <a:p>
          <a:pPr marL="0" marR="0" indent="0" defTabSz="914400" eaLnBrk="1" fontAlgn="auto" latinLnBrk="0" hangingPunct="1">
            <a:lnSpc>
              <a:spcPct val="100000"/>
            </a:lnSpc>
            <a:spcBef>
              <a:spcPts val="0"/>
            </a:spcBef>
            <a:spcAft>
              <a:spcPts val="0"/>
            </a:spcAft>
            <a:buClrTx/>
            <a:buSzTx/>
            <a:buFontTx/>
            <a:buNone/>
            <a:tabLst/>
            <a:defRPr/>
          </a:pPr>
          <a:r>
            <a:rPr lang="nb-NO" sz="1100"/>
            <a:t>I ark 2 og 3 skal det ligge en rapport</a:t>
          </a:r>
          <a:r>
            <a:rPr lang="nb-NO" sz="1100" baseline="0"/>
            <a:t> </a:t>
          </a:r>
          <a:r>
            <a:rPr lang="nb-NO" sz="1100"/>
            <a:t>fra</a:t>
          </a:r>
          <a:r>
            <a:rPr lang="nb-NO" sz="1100" baseline="0"/>
            <a:t> økonomisystemet som viser detaljerte saldoer for funksjon 201 og 221 per funksjon, ansvar og art. Det må være tekster på alle konti. </a:t>
          </a:r>
          <a:r>
            <a:rPr lang="nb-NO" sz="1100" baseline="0">
              <a:solidFill>
                <a:schemeClr val="dk1"/>
              </a:solidFill>
              <a:effectLst/>
              <a:latin typeface="+mn-lt"/>
              <a:ea typeface="+mn-ea"/>
              <a:cs typeface="+mn-cs"/>
            </a:rPr>
            <a:t>Utskriftene skal sikre dokumentasjon av kalkylen og sporbarhet mellom tilskuddsberegningen og det kommunale Kostra-regnskapet. Summen i rapportene skal stemme med Kostraregnskapet på internett. Hvis den interne kontoplanen til kommunen avviker fra Kostra, må det tas med Kostra-art og funksjon for alle linjene i rapporten. </a:t>
          </a:r>
          <a:r>
            <a:rPr lang="nb-NO" sz="1100" baseline="0"/>
            <a:t>De konti som inngår i selvkost  summeres </a:t>
          </a:r>
          <a:r>
            <a:rPr lang="nb-NO" sz="1100" baseline="0">
              <a:solidFill>
                <a:schemeClr val="dk1"/>
              </a:solidFill>
              <a:effectLst/>
              <a:latin typeface="+mn-lt"/>
              <a:ea typeface="+mn-ea"/>
              <a:cs typeface="+mn-cs"/>
            </a:rPr>
            <a:t>og overføres til ark 4 Selvkost. </a:t>
          </a:r>
        </a:p>
        <a:p>
          <a:pPr marL="0" marR="0" indent="0" defTabSz="914400" eaLnBrk="1" fontAlgn="auto" latinLnBrk="0" hangingPunct="1">
            <a:lnSpc>
              <a:spcPct val="100000"/>
            </a:lnSpc>
            <a:spcBef>
              <a:spcPts val="0"/>
            </a:spcBef>
            <a:spcAft>
              <a:spcPts val="0"/>
            </a:spcAft>
            <a:buClrTx/>
            <a:buSzTx/>
            <a:buFontTx/>
            <a:buNone/>
            <a:tabLst/>
            <a:defRPr/>
          </a:pPr>
          <a:endParaRPr lang="nb-NO"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100" baseline="0"/>
            <a:t>Selvkost er kostnaden ved å produsere kommunale barnehageplasser. Fellestiltak for alle typer barnehager (felles opplæring) og myndighetsoppgaver skal ikke tas med i selvkost, se tilskuddsreglene. </a:t>
          </a:r>
          <a:r>
            <a:rPr lang="nb-NO" sz="1100" baseline="0">
              <a:solidFill>
                <a:schemeClr val="dk1"/>
              </a:solidFill>
              <a:effectLst/>
              <a:latin typeface="+mn-lt"/>
              <a:ea typeface="+mn-ea"/>
              <a:cs typeface="+mn-cs"/>
            </a:rPr>
            <a:t>Utgifter forbundet med lokaler for private barnehager inngår  heller ikke i selvkostberegningen.</a:t>
          </a:r>
          <a:endParaRPr lang="nb-NO">
            <a:effectLst/>
          </a:endParaRPr>
        </a:p>
        <a:p>
          <a:endParaRPr lang="nb-NO" sz="1100" baseline="0"/>
        </a:p>
        <a:p>
          <a:pPr marL="0" marR="0" indent="0" defTabSz="914400" eaLnBrk="1" fontAlgn="auto" latinLnBrk="0" hangingPunct="1">
            <a:lnSpc>
              <a:spcPct val="100000"/>
            </a:lnSpc>
            <a:spcBef>
              <a:spcPts val="0"/>
            </a:spcBef>
            <a:spcAft>
              <a:spcPts val="0"/>
            </a:spcAft>
            <a:buClrTx/>
            <a:buSzTx/>
            <a:buFontTx/>
            <a:buNone/>
            <a:tabLst/>
            <a:defRPr/>
          </a:pPr>
          <a:r>
            <a:rPr lang="nb-NO" sz="1100" baseline="0">
              <a:solidFill>
                <a:schemeClr val="dk1"/>
              </a:solidFill>
              <a:effectLst/>
              <a:latin typeface="+mn-lt"/>
              <a:ea typeface="+mn-ea"/>
              <a:cs typeface="+mn-cs"/>
            </a:rPr>
            <a:t>Alle normale direkte driftsutgifter skal tas med i selvkostberegningen, uansett hvor de er ført i kommuneregnskapet. Kostraveilederen trekker grensen mellom funksjon 120 administrasjon og funksjon 201. </a:t>
          </a:r>
          <a:r>
            <a:rPr lang="nb-NO" sz="1100" baseline="0"/>
            <a:t>I utgangspunktet er alle korrigerte brutto driftsutgifter i funksjon 201 med i selvkost.</a:t>
          </a:r>
        </a:p>
        <a:p>
          <a:pPr marL="0" marR="0" indent="0" defTabSz="914400" eaLnBrk="1" fontAlgn="auto" latinLnBrk="0" hangingPunct="1">
            <a:lnSpc>
              <a:spcPct val="100000"/>
            </a:lnSpc>
            <a:spcBef>
              <a:spcPts val="0"/>
            </a:spcBef>
            <a:spcAft>
              <a:spcPts val="0"/>
            </a:spcAft>
            <a:buClrTx/>
            <a:buSzTx/>
            <a:buFontTx/>
            <a:buNone/>
            <a:tabLst/>
            <a:defRPr/>
          </a:pPr>
          <a:endParaRPr lang="nb-NO" sz="1100" baseline="0"/>
        </a:p>
        <a:p>
          <a:pPr marL="0" marR="0" indent="0" defTabSz="914400" eaLnBrk="1" fontAlgn="auto" latinLnBrk="0" hangingPunct="1">
            <a:lnSpc>
              <a:spcPct val="100000"/>
            </a:lnSpc>
            <a:spcBef>
              <a:spcPts val="0"/>
            </a:spcBef>
            <a:spcAft>
              <a:spcPts val="0"/>
            </a:spcAft>
            <a:buClrTx/>
            <a:buSzTx/>
            <a:buFontTx/>
            <a:buNone/>
            <a:tabLst/>
            <a:defRPr/>
          </a:pPr>
          <a:r>
            <a:rPr lang="nb-NO" sz="1100" baseline="0"/>
            <a:t>For å sikre sporbarhet og dokumentasjon  skal alle regnskapsposter på 201 og 221 gjennomgås og grupperes i henhold til artsgruppene i selvkostkalkylen, se det vedlagte eksempelet.   Det skal gis en grunn for alle poster på 201 og 221 som utelates fra selvkostberegningen.  Regnearket oppsummerer regnskapet på to metoder (pivot-tabell og summerhvis-funksjonen).</a:t>
          </a:r>
        </a:p>
        <a:p>
          <a:pPr marL="0" marR="0" indent="0" defTabSz="914400" eaLnBrk="1" fontAlgn="auto" latinLnBrk="0" hangingPunct="1">
            <a:lnSpc>
              <a:spcPct val="100000"/>
            </a:lnSpc>
            <a:spcBef>
              <a:spcPts val="0"/>
            </a:spcBef>
            <a:spcAft>
              <a:spcPts val="0"/>
            </a:spcAft>
            <a:buClrTx/>
            <a:buSzTx/>
            <a:buFontTx/>
            <a:buNone/>
            <a:tabLst/>
            <a:defRPr/>
          </a:pPr>
          <a:endParaRPr lang="nb-NO" sz="1100" baseline="0"/>
        </a:p>
        <a:p>
          <a:pPr marL="0" marR="0" indent="0" defTabSz="914400" eaLnBrk="1" fontAlgn="auto" latinLnBrk="0" hangingPunct="1">
            <a:lnSpc>
              <a:spcPct val="100000"/>
            </a:lnSpc>
            <a:spcBef>
              <a:spcPts val="0"/>
            </a:spcBef>
            <a:spcAft>
              <a:spcPts val="0"/>
            </a:spcAft>
            <a:buClrTx/>
            <a:buSzTx/>
            <a:buFontTx/>
            <a:buNone/>
            <a:tabLst/>
            <a:defRPr/>
          </a:pPr>
          <a:r>
            <a:rPr lang="nb-NO" sz="1100" baseline="0">
              <a:solidFill>
                <a:schemeClr val="dk1"/>
              </a:solidFill>
              <a:effectLst/>
              <a:latin typeface="+mn-lt"/>
              <a:ea typeface="+mn-ea"/>
              <a:cs typeface="+mn-cs"/>
            </a:rPr>
            <a:t>De relevante utgiftene er de som inngår i begrepet "korrigerte brutto driftsutgifter" minus avskrivninger og kapitaldel av ekstern husleie art 190. </a:t>
          </a:r>
          <a:r>
            <a:rPr lang="nb-NO" sz="1100" baseline="0"/>
            <a:t>Hvis kommunen har eiendomsforetak, betaler kommunen "husleie" til foretaket på kontoart 380. Da må utgiftene på funksjon 221 hentes fra konsernets  regnskap. Art 380 skal ikke brukes i selvkostkalkylen. </a:t>
          </a:r>
        </a:p>
        <a:p>
          <a:pPr marL="0" marR="0" indent="0" defTabSz="914400" eaLnBrk="1" fontAlgn="auto" latinLnBrk="0" hangingPunct="1">
            <a:lnSpc>
              <a:spcPct val="100000"/>
            </a:lnSpc>
            <a:spcBef>
              <a:spcPts val="0"/>
            </a:spcBef>
            <a:spcAft>
              <a:spcPts val="0"/>
            </a:spcAft>
            <a:buClrTx/>
            <a:buSzTx/>
            <a:buFontTx/>
            <a:buNone/>
            <a:tabLst/>
            <a:defRPr/>
          </a:pPr>
          <a:endParaRPr lang="nb-NO" sz="1100" baseline="0"/>
        </a:p>
        <a:p>
          <a:pPr marL="0" marR="0" indent="0" defTabSz="914400" eaLnBrk="1" fontAlgn="auto" latinLnBrk="0" hangingPunct="1">
            <a:lnSpc>
              <a:spcPct val="100000"/>
            </a:lnSpc>
            <a:spcBef>
              <a:spcPts val="0"/>
            </a:spcBef>
            <a:spcAft>
              <a:spcPts val="0"/>
            </a:spcAft>
            <a:buClrTx/>
            <a:buSzTx/>
            <a:buFontTx/>
            <a:buNone/>
            <a:tabLst/>
            <a:defRPr/>
          </a:pPr>
          <a:r>
            <a:rPr lang="nb-NO" sz="1100" baseline="0"/>
            <a:t>De regnskapsførte pensjonsutgiftene skal holdes utenfor selvkostkalkylen. Det skal istedet gjøres et standardisert pensjonspåslag på 13% av samlede lønnsutgifter i grunnlaget for tilskudd. Arbeidsgiveravgiften må beregnes på nytt. </a:t>
          </a:r>
        </a:p>
        <a:p>
          <a:pPr marL="0" marR="0" indent="0" defTabSz="914400" eaLnBrk="1" fontAlgn="auto" latinLnBrk="0" hangingPunct="1">
            <a:lnSpc>
              <a:spcPct val="100000"/>
            </a:lnSpc>
            <a:spcBef>
              <a:spcPts val="0"/>
            </a:spcBef>
            <a:spcAft>
              <a:spcPts val="0"/>
            </a:spcAft>
            <a:buClrTx/>
            <a:buSzTx/>
            <a:buFontTx/>
            <a:buNone/>
            <a:tabLst/>
            <a:defRPr/>
          </a:pPr>
          <a:endParaRPr lang="nb-NO" sz="1100" baseline="0">
            <a:solidFill>
              <a:schemeClr val="dk1"/>
            </a:solidFill>
            <a:effectLst/>
            <a:latin typeface="+mn-lt"/>
            <a:ea typeface="+mn-ea"/>
            <a:cs typeface="+mn-cs"/>
          </a:endParaRPr>
        </a:p>
        <a:p>
          <a:endParaRPr lang="nb-NO" sz="1100" baseline="0"/>
        </a:p>
        <a:p>
          <a:r>
            <a:rPr lang="nb-NO" sz="1100" b="1" baseline="0">
              <a:solidFill>
                <a:schemeClr val="dk1"/>
              </a:solidFill>
              <a:effectLst/>
              <a:latin typeface="+mn-lt"/>
              <a:ea typeface="+mn-ea"/>
              <a:cs typeface="+mn-cs"/>
            </a:rPr>
            <a:t>4. Selvkostberegning.</a:t>
          </a:r>
        </a:p>
        <a:p>
          <a:endParaRPr lang="nb-NO" b="1">
            <a:effectLst/>
          </a:endParaRPr>
        </a:p>
        <a:p>
          <a:pPr eaLnBrk="1" fontAlgn="auto" latinLnBrk="0" hangingPunct="1"/>
          <a:r>
            <a:rPr lang="nb-NO" sz="1100" baseline="0">
              <a:solidFill>
                <a:schemeClr val="dk1"/>
              </a:solidFill>
              <a:effectLst/>
              <a:latin typeface="+mn-lt"/>
              <a:ea typeface="+mn-ea"/>
              <a:cs typeface="+mn-cs"/>
            </a:rPr>
            <a:t>Økonomitall for de kommunale barnehagene plukkes fra ark 2 og 3. Ordinære driftsposter som er ført på andre Kostrafunksjoner må legges til. Kostraveilederen forteller hva som skal føres på funksjon 201 og 221. Blant postene som må tas med er AFP-kostnader, opplæring, teletrafikk, porto og annonser. Hvis dette er ført felles på funksjon 120, må det gjøres et anslag for barnehagenes andel.  Barnehagenes andel av samlede lønnskostnader er en grei fordelingsnøkkel.  Nye linjer føres inn i arket etter behov. </a:t>
          </a:r>
        </a:p>
        <a:p>
          <a:pPr eaLnBrk="1" fontAlgn="auto" latinLnBrk="0" hangingPunct="1"/>
          <a:endParaRPr lang="nb-NO" sz="1100" baseline="0">
            <a:solidFill>
              <a:schemeClr val="dk1"/>
            </a:solidFill>
            <a:effectLst/>
            <a:latin typeface="+mn-lt"/>
            <a:ea typeface="+mn-ea"/>
            <a:cs typeface="+mn-cs"/>
          </a:endParaRPr>
        </a:p>
        <a:p>
          <a:pPr eaLnBrk="1" fontAlgn="auto" latinLnBrk="0" hangingPunct="1"/>
          <a:r>
            <a:rPr lang="nb-NO" sz="1100" baseline="0">
              <a:solidFill>
                <a:schemeClr val="dk1"/>
              </a:solidFill>
              <a:effectLst/>
              <a:latin typeface="+mn-lt"/>
              <a:ea typeface="+mn-ea"/>
              <a:cs typeface="+mn-cs"/>
            </a:rPr>
            <a:t>Fradrag for pensjonskostnader: Den regnskapsførte pensjonpremien skal dras fra, inkludert arbeidsgiveravgift av denne premien. Premie og avgift erstattes av et standardisert påslag på 13 prosent av lønnsutgifter pluss arbeidsgiveravgift av dette. Regnearket gjør dette ved å beregne 13% pensjon av all lønn og arbeidsgiveravgift på nytt.</a:t>
          </a:r>
          <a:endParaRPr lang="nb-NO">
            <a:effectLst/>
          </a:endParaRPr>
        </a:p>
        <a:p>
          <a:pPr eaLnBrk="1" fontAlgn="auto" latinLnBrk="0" hangingPunct="1"/>
          <a:r>
            <a:rPr lang="nb-NO" sz="1100" baseline="0">
              <a:solidFill>
                <a:schemeClr val="dk1"/>
              </a:solidFill>
              <a:effectLst/>
              <a:latin typeface="+mn-lt"/>
              <a:ea typeface="+mn-ea"/>
              <a:cs typeface="+mn-cs"/>
            </a:rPr>
            <a:t>Administrasjonskostnader legges til ved å plusse på direkte driftsutgifter 4,3 %. Administrasjonspåslaget  dekker utgiftene som etter Kostraveilederen skal føres innenfor Kostrafunksjonene 120 administrasjon, 130 administrasjonslokaler, 121 eiendomsforvaltning og 110 kontroll og revisjon. </a:t>
          </a:r>
        </a:p>
        <a:p>
          <a:pPr eaLnBrk="1" fontAlgn="auto" latinLnBrk="0" hangingPunct="1"/>
          <a:r>
            <a:rPr lang="nb-NO" sz="1100" baseline="0">
              <a:solidFill>
                <a:schemeClr val="dk1"/>
              </a:solidFill>
              <a:effectLst/>
              <a:latin typeface="+mn-lt"/>
              <a:ea typeface="+mn-ea"/>
              <a:cs typeface="+mn-cs"/>
            </a:rPr>
            <a:t> </a:t>
          </a:r>
          <a:endParaRPr lang="nb-NO">
            <a:effectLst/>
          </a:endParaRPr>
        </a:p>
        <a:p>
          <a:pPr eaLnBrk="1" fontAlgn="auto" latinLnBrk="0" hangingPunct="1"/>
          <a:r>
            <a:rPr lang="nb-NO" sz="1100" baseline="0">
              <a:solidFill>
                <a:schemeClr val="dk1"/>
              </a:solidFill>
              <a:effectLst/>
              <a:latin typeface="+mn-lt"/>
              <a:ea typeface="+mn-ea"/>
              <a:cs typeface="+mn-cs"/>
            </a:rPr>
            <a:t>Det er kommunens gjennomsnittlige antall barn som skal brukes i selvkostberegningen, ikke antallet i årsmeldingen ved årets start. Hvis antallet øker fra 100 per 1.1. til 120 om høsten: antall barn vil være 100*7/12+120*5/12=108,3. Det er årsmeldingene som må legges til grunn  ved begge tellingene. Dersom kommunen har flere tellinger per år, må malen tilpasses. </a:t>
          </a:r>
        </a:p>
        <a:p>
          <a:pPr eaLnBrk="1" fontAlgn="auto" latinLnBrk="0" hangingPunct="1"/>
          <a:endParaRPr lang="nb-NO">
            <a:effectLst/>
          </a:endParaRPr>
        </a:p>
        <a:p>
          <a:r>
            <a:rPr lang="nb-NO" sz="1100" baseline="0">
              <a:solidFill>
                <a:schemeClr val="dk1"/>
              </a:solidFill>
              <a:effectLst/>
              <a:latin typeface="+mn-lt"/>
              <a:ea typeface="+mn-ea"/>
              <a:cs typeface="+mn-cs"/>
            </a:rPr>
            <a:t>Selvkostberegningen ender opp med satser for driftstilskudd til heltidsbarn over og under tre år. Disse satsene brukes i ark 6.</a:t>
          </a:r>
        </a:p>
        <a:p>
          <a:endParaRPr lang="nb-NO">
            <a:effectLst/>
          </a:endParaRPr>
        </a:p>
        <a:p>
          <a:pPr eaLnBrk="1" fontAlgn="auto" latinLnBrk="0" hangingPunct="1"/>
          <a:r>
            <a:rPr lang="nb-NO" sz="1100" baseline="0">
              <a:solidFill>
                <a:schemeClr val="dk1"/>
              </a:solidFill>
              <a:effectLst/>
              <a:latin typeface="+mn-lt"/>
              <a:ea typeface="+mn-ea"/>
              <a:cs typeface="+mn-cs"/>
            </a:rPr>
            <a:t>Nøkkeltallene  beregnes for å kunne følge utviklingen i driften fra år til år. Man vil forvente en kostnadsvekst fra år til år lik  kommunal deflator. Store endringer i nøkkeltallene bør forklares.  </a:t>
          </a:r>
        </a:p>
        <a:p>
          <a:pPr eaLnBrk="1" fontAlgn="auto" latinLnBrk="0" hangingPunct="1"/>
          <a:endParaRPr lang="nb-NO" sz="1100" baseline="0">
            <a:solidFill>
              <a:schemeClr val="dk1"/>
            </a:solidFill>
            <a:effectLst/>
            <a:latin typeface="+mn-lt"/>
            <a:ea typeface="+mn-ea"/>
            <a:cs typeface="+mn-cs"/>
          </a:endParaRPr>
        </a:p>
        <a:p>
          <a:pPr eaLnBrk="1" fontAlgn="auto" latinLnBrk="0" hangingPunct="1"/>
          <a:r>
            <a:rPr lang="nb-NO" sz="1100" baseline="0">
              <a:solidFill>
                <a:schemeClr val="dk1"/>
              </a:solidFill>
              <a:effectLst/>
              <a:latin typeface="+mn-lt"/>
              <a:ea typeface="+mn-ea"/>
              <a:cs typeface="+mn-cs"/>
            </a:rPr>
            <a:t>Nøkkeltallene er:</a:t>
          </a:r>
          <a:endParaRPr lang="nb-NO">
            <a:effectLst/>
          </a:endParaRPr>
        </a:p>
        <a:p>
          <a:pPr eaLnBrk="1" fontAlgn="auto" latinLnBrk="0" hangingPunct="1"/>
          <a:r>
            <a:rPr lang="nb-NO" sz="1100" baseline="0">
              <a:solidFill>
                <a:schemeClr val="dk1"/>
              </a:solidFill>
              <a:effectLst/>
              <a:latin typeface="+mn-lt"/>
              <a:ea typeface="+mn-ea"/>
              <a:cs typeface="+mn-cs"/>
            </a:rPr>
            <a:t>* Plasser per årsverk: Uttrykker bemanningstettheten i barnehagen inkludert styrer. Teller: Antall heltidsbarn med småbarn vektet som to store ( i henhold til reglene om pedagognorm). Tall for barn ved årets start og slutt hentes fra årsmeldingene. Nevner: Antall årsverk til ordinær drift/"basisvirksomhet". Tall per årets start og slutt hentes fra årsmeldingene.  Antallene vektes i henhold til hvor mange måneder de gjelder for (våren er 7 måneder, høsten er 5 måneder).</a:t>
          </a:r>
        </a:p>
        <a:p>
          <a:pPr eaLnBrk="1" fontAlgn="auto" latinLnBrk="0" hangingPunct="1"/>
          <a:r>
            <a:rPr lang="nb-NO" sz="1100" baseline="0">
              <a:solidFill>
                <a:schemeClr val="dk1"/>
              </a:solidFill>
              <a:effectLst/>
              <a:latin typeface="+mn-lt"/>
              <a:ea typeface="+mn-ea"/>
              <a:cs typeface="+mn-cs"/>
            </a:rPr>
            <a:t>* Lønnskostnad per årsverk: Teller: Sum lønn og sosiale utgifter fra regnskapet funksjon 201 fane 2. Nevner: sum årsverk snitt, hentes fra selvkostkalkylen.</a:t>
          </a:r>
          <a:endParaRPr lang="nb-NO">
            <a:effectLst/>
          </a:endParaRPr>
        </a:p>
        <a:p>
          <a:pPr eaLnBrk="1" fontAlgn="auto" latinLnBrk="0" hangingPunct="1"/>
          <a:r>
            <a:rPr lang="nb-NO" sz="1100" baseline="0">
              <a:solidFill>
                <a:schemeClr val="dk1"/>
              </a:solidFill>
              <a:effectLst/>
              <a:latin typeface="+mn-lt"/>
              <a:ea typeface="+mn-ea"/>
              <a:cs typeface="+mn-cs"/>
            </a:rPr>
            <a:t>* Driftsmidler per barn: Teller: Funksjon 201, sum driftsutgifter art 100-290 pluss 429 mva minus 729 ref mva. Nevner: Antall heltidsbarn, ikke korrigert for alder.</a:t>
          </a:r>
          <a:endParaRPr lang="nb-NO">
            <a:effectLst/>
          </a:endParaRPr>
        </a:p>
        <a:p>
          <a:pPr eaLnBrk="1" fontAlgn="auto" latinLnBrk="0" hangingPunct="1"/>
          <a:r>
            <a:rPr lang="nb-NO" sz="1100" baseline="0">
              <a:solidFill>
                <a:schemeClr val="dk1"/>
              </a:solidFill>
              <a:effectLst/>
              <a:latin typeface="+mn-lt"/>
              <a:ea typeface="+mn-ea"/>
              <a:cs typeface="+mn-cs"/>
            </a:rPr>
            <a:t>* Drift av lokaler per barn:  Teller: Funksjon 221, sum driftsutgifter art 100-290 pluss 429 mva minus 729 ref mva. Nevner: Antall heltidsbarn, ikke korrigert for alder.</a:t>
          </a:r>
          <a:endParaRPr lang="nb-NO">
            <a:effectLst/>
          </a:endParaRPr>
        </a:p>
        <a:p>
          <a:pPr eaLnBrk="1" fontAlgn="auto" latinLnBrk="0" hangingPunct="1"/>
          <a:r>
            <a:rPr lang="nb-NO" sz="1100" baseline="0">
              <a:solidFill>
                <a:schemeClr val="dk1"/>
              </a:solidFill>
              <a:effectLst/>
              <a:latin typeface="+mn-lt"/>
              <a:ea typeface="+mn-ea"/>
              <a:cs typeface="+mn-cs"/>
            </a:rPr>
            <a:t>* Omfang av styrkingstiltak. Teller: Netto utgift funksjon 211 styrkingstiltak  Nevner: Netto utgift  funksjon 201 Førskole.</a:t>
          </a:r>
          <a:endParaRPr lang="nb-NO">
            <a:effectLst/>
          </a:endParaRPr>
        </a:p>
        <a:p>
          <a:pPr eaLnBrk="1" fontAlgn="auto" latinLnBrk="0" hangingPunct="1"/>
          <a:endParaRPr lang="nb-NO">
            <a:effectLst/>
          </a:endParaRPr>
        </a:p>
        <a:p>
          <a:pPr eaLnBrk="1" fontAlgn="auto" latinLnBrk="0" hangingPunct="1"/>
          <a:endParaRPr lang="nb-NO">
            <a:effectLst/>
          </a:endParaRPr>
        </a:p>
        <a:p>
          <a:r>
            <a:rPr lang="nb-NO" sz="1100" b="1" baseline="0"/>
            <a:t>5. Kapitalkostnader</a:t>
          </a:r>
        </a:p>
        <a:p>
          <a:endParaRPr lang="nb-NO" sz="1100" baseline="0"/>
        </a:p>
        <a:p>
          <a:r>
            <a:rPr lang="nb-NO" sz="1100" baseline="0"/>
            <a:t>Satsene per heltidsplass avhenger av barnehagens byggeår. Hvis det er investert flere ganger i samme barnehage (utvidelse) lager man flere kolonner for denne barnehagen, f.eks. ved å bruke en kolonne per godkjenningsår i fane 5. Gule felter skal fylles ut. </a:t>
          </a:r>
        </a:p>
        <a:p>
          <a:endParaRPr lang="nb-NO" sz="1100" baseline="0"/>
        </a:p>
        <a:p>
          <a:r>
            <a:rPr lang="nb-NO" sz="1100" baseline="0"/>
            <a:t>Husk å oppdatere satser og årstall. Disse fastsettes årlig i forskrift (november/desember)</a:t>
          </a:r>
        </a:p>
        <a:p>
          <a:endParaRPr lang="nb-NO" sz="1100" baseline="0"/>
        </a:p>
        <a:p>
          <a:r>
            <a:rPr lang="nb-NO" sz="1100" baseline="0"/>
            <a:t>Forskriften: https://lovdata.no/forskrift/2015-10-09-1166/§6</a:t>
          </a:r>
        </a:p>
        <a:p>
          <a:endParaRPr lang="nb-NO" sz="1100" baseline="0"/>
        </a:p>
        <a:p>
          <a:r>
            <a:rPr lang="nb-NO" sz="1100" baseline="0"/>
            <a:t> </a:t>
          </a:r>
        </a:p>
        <a:p>
          <a:endParaRPr lang="nb-NO" sz="1100" baseline="0"/>
        </a:p>
        <a:p>
          <a:pPr>
            <a:lnSpc>
              <a:spcPts val="1200"/>
            </a:lnSpc>
          </a:pPr>
          <a:r>
            <a:rPr lang="nb-NO" sz="1100" b="1" baseline="0"/>
            <a:t>6. Tilskudd til private</a:t>
          </a:r>
        </a:p>
        <a:p>
          <a:endParaRPr lang="nb-NO" sz="1100" baseline="0"/>
        </a:p>
        <a:p>
          <a:r>
            <a:rPr lang="nb-NO" sz="1100" baseline="0"/>
            <a:t>Antall barn etter alder og oppholdstid hentes fra barnehagenes årsmeldinger 15.12 før året starter. Satser for tilskudd hentes fra ark 4 og 5. </a:t>
          </a:r>
        </a:p>
        <a:p>
          <a:endParaRPr lang="nb-NO" sz="1100" baseline="0"/>
        </a:p>
        <a:p>
          <a:r>
            <a:rPr lang="nb-NO" sz="1100" baseline="0"/>
            <a:t>Noen kommuner ønsker å telle barn i private barnehager flere ganger gjennom året. Modellen har to ark for å beregne tilskudd til de private barnehagene. Kommuner som vil telle barna vår og høst kan bruke begge arkene. Det første arket brukes på våren, og beregner tilskudd for syv måneder. Det andre på høsten, og beregner tilskudd for fem måneder. Kommuner som vil telle oftere lager flere ark etter samme modell.</a:t>
          </a:r>
        </a:p>
        <a:p>
          <a:endParaRPr lang="nb-NO" sz="1100" baseline="0"/>
        </a:p>
        <a:p>
          <a:endParaRPr lang="nb-NO" sz="1100" baseline="0"/>
        </a:p>
        <a:p>
          <a:r>
            <a:rPr lang="nb-NO" sz="1100" b="1" baseline="0"/>
            <a:t>7. Økonomirapport 211</a:t>
          </a:r>
        </a:p>
        <a:p>
          <a:r>
            <a:rPr lang="nb-NO" sz="1100" baseline="0"/>
            <a:t>Funksjon 211 Styrkingstiltak inngår ikke i grunnlaget for tilskudd til private  barnehager. Det er likevel fornuftig å vise hvor mye penger kommunen bruker til dette formålet. Vi beregner følgende nøkkeltall: netto utgifter funksjon 211 delt på netto utgifter funksjon 201. </a:t>
          </a:r>
        </a:p>
        <a:p>
          <a:endParaRPr lang="nb-NO" sz="1100" baseline="0"/>
        </a:p>
        <a:p>
          <a:endParaRPr lang="nb-NO" sz="1100" baseline="0"/>
        </a:p>
        <a:p>
          <a:r>
            <a:rPr lang="nb-NO" sz="1100" b="1" baseline="0"/>
            <a:t>8. Søknad om ekstra pensjonstilskudd</a:t>
          </a:r>
        </a:p>
        <a:p>
          <a:r>
            <a:rPr lang="nb-NO" sz="1100" baseline="0"/>
            <a:t>Viser til forskriften § 4a. Private barnehager kan søke om å få dekket pensjonsutgifter som er høyere enn det pensjonstilskuddet som gis fra kommunen. Samlet tilskudd til pensjon per årsverk kan ikke være høyere enn kommunens egne utgifter til pensjon per årsverk. Skjemaet beregner først kommunens utgifter per årsverk og kommunens tilskudd per heltidsplass over og under tre år. Deretter beregnes pensjonstilskudd per årsverk i den private barnehagen og barnehagens pensjonsutgifter per årsverk. Til slutt sammenlignes beregnet  tilskudd med barnehagens kostnader. Skjemaet er utformet som søknad. </a:t>
          </a:r>
          <a:r>
            <a:rPr lang="nb-NO" sz="1100" baseline="0">
              <a:solidFill>
                <a:srgbClr val="FF0000"/>
              </a:solidFill>
            </a:rPr>
            <a:t>Det skal vedlegges dokumentasjon</a:t>
          </a:r>
          <a:r>
            <a:rPr lang="nb-NO" sz="1100" baseline="0"/>
            <a:t> fra barnehagen </a:t>
          </a:r>
          <a:r>
            <a:rPr lang="nb-NO" sz="1100" baseline="0">
              <a:solidFill>
                <a:srgbClr val="FF0000"/>
              </a:solidFill>
            </a:rPr>
            <a:t>som</a:t>
          </a:r>
          <a:r>
            <a:rPr lang="nb-NO" sz="1100" baseline="0"/>
            <a:t> </a:t>
          </a:r>
          <a:r>
            <a:rPr lang="nb-NO" sz="1100" baseline="0">
              <a:solidFill>
                <a:srgbClr val="FF0000"/>
              </a:solidFill>
            </a:rPr>
            <a:t>viser barnehagens faktiske utgifter til pensjon i kalenderåret</a:t>
          </a:r>
          <a:r>
            <a:rPr lang="nb-NO" sz="1100" baseline="0"/>
            <a:t>.</a:t>
          </a:r>
        </a:p>
        <a:p>
          <a:pPr>
            <a:lnSpc>
              <a:spcPts val="1200"/>
            </a:lnSpc>
          </a:pPr>
          <a:endParaRPr lang="nb-NO" sz="1100" baseline="0"/>
        </a:p>
        <a:p>
          <a:pPr>
            <a:lnSpc>
              <a:spcPts val="1200"/>
            </a:lnSpc>
          </a:pPr>
          <a:endParaRPr lang="nb-NO" sz="1100" baseline="0"/>
        </a:p>
        <a:p>
          <a:pPr>
            <a:lnSpc>
              <a:spcPts val="1200"/>
            </a:lnSpc>
          </a:pPr>
          <a:r>
            <a:rPr lang="nb-NO" sz="1100" b="1" baseline="0"/>
            <a:t>Familiebarnehager og åpne barnehager</a:t>
          </a:r>
        </a:p>
        <a:p>
          <a:pPr>
            <a:lnSpc>
              <a:spcPts val="1200"/>
            </a:lnSpc>
          </a:pPr>
          <a:r>
            <a:rPr lang="nb-NO" sz="1100" baseline="0"/>
            <a:t>Denne modellen er laget for å gi tilskudd til ordinære private barnehager (heltidsbarnehager). Det skal også beregnes tilskudd til familiebarnehager og åpne barnehager.  Kommuner som skal lage selvkostkalkyler for flere typer barnehager bør  ha en egen modell for hver type barnehage. For kommuner uten egne familiebarnehager er det bare å føre statens satser rett inn i tilskuddsberegningen skjema 6. </a:t>
          </a:r>
        </a:p>
        <a:p>
          <a:endParaRPr lang="nb-NO" sz="1100" baseline="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Martin Fjordholm" refreshedDate="43623.513375810187" createdVersion="6" refreshedVersion="6" minRefreshableVersion="3" recordCount="460">
  <cacheSource type="worksheet">
    <worksheetSource ref="A1:H1048576" sheet="2. Økonomirapport 201"/>
  </cacheSource>
  <cacheFields count="8">
    <cacheField name="Ansvar" numFmtId="0">
      <sharedItems containsBlank="1"/>
    </cacheField>
    <cacheField name="Ansvar (T)" numFmtId="0">
      <sharedItems containsBlank="1"/>
    </cacheField>
    <cacheField name="Tjeneste" numFmtId="0">
      <sharedItems containsString="0" containsBlank="1" containsNumber="1" containsInteger="1" minValue="2010" maxValue="2010"/>
    </cacheField>
    <cacheField name="Tjeneste (T)" numFmtId="0">
      <sharedItems containsBlank="1"/>
    </cacheField>
    <cacheField name="Konto" numFmtId="0">
      <sharedItems containsString="0" containsBlank="1" containsNumber="1" containsInteger="1" minValue="10100" maxValue="18900"/>
    </cacheField>
    <cacheField name="Konto (T)" numFmtId="0">
      <sharedItems containsBlank="1"/>
    </cacheField>
    <cacheField name="Regnskap" numFmtId="0">
      <sharedItems containsString="0" containsBlank="1" containsNumber="1" minValue="-2734081.4397925995" maxValue="23017089.902275804"/>
    </cacheField>
    <cacheField name="Gruppering" numFmtId="167">
      <sharedItems containsBlank="1" count="18">
        <s v="Feilføring"/>
        <s v="2. Varer og tjenester "/>
        <s v="3. Mva"/>
        <s v="6. Mva-kompensasjon"/>
        <s v="1.lønn"/>
        <s v="9. Pensjon"/>
        <s v="91. Arbeidsgiveravgift"/>
        <s v="refusjon lærlinger"/>
        <s v="Barnehagemyndighet"/>
        <s v="Lærling"/>
        <s v="foreldrebetaling"/>
        <s v="7. Matpenger"/>
        <s v="refusjoner"/>
        <s v="5. sykelønnsrefusjon"/>
        <s v="tilskott private b.hager"/>
        <s v="andre fradrag lønn"/>
        <s v="avskriving"/>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Martin Fjordholm" refreshedDate="43623.513376157411" createdVersion="6" refreshedVersion="6" minRefreshableVersion="3" recordCount="89">
  <cacheSource type="worksheet">
    <worksheetSource ref="A1:H1048576" sheet="3. Økonomirapport 221"/>
  </cacheSource>
  <cacheFields count="8">
    <cacheField name="Ansvar" numFmtId="0">
      <sharedItems containsString="0" containsBlank="1" containsNumber="1" containsInteger="1" minValue="121" maxValue="900"/>
    </cacheField>
    <cacheField name="Ansvar (T)" numFmtId="0">
      <sharedItems containsBlank="1"/>
    </cacheField>
    <cacheField name="Tjeneste" numFmtId="0">
      <sharedItems containsString="0" containsBlank="1" containsNumber="1" containsInteger="1" minValue="2210" maxValue="2210"/>
    </cacheField>
    <cacheField name="Tjeneste (T)" numFmtId="0">
      <sharedItems containsBlank="1"/>
    </cacheField>
    <cacheField name="Konto" numFmtId="49">
      <sharedItems containsString="0" containsBlank="1" containsNumber="1" containsInteger="1" minValue="10100" maxValue="17290"/>
    </cacheField>
    <cacheField name="Konto (T)" numFmtId="0">
      <sharedItems containsBlank="1"/>
    </cacheField>
    <cacheField name="Regnskap" numFmtId="0">
      <sharedItems containsString="0" containsBlank="1" containsNumber="1" minValue="-199344.59502199996" maxValue="2978410.89812"/>
    </cacheField>
    <cacheField name="Gruppering" numFmtId="3">
      <sharedItems containsBlank="1" count="10">
        <s v="2. varer og tjenester"/>
        <s v="3. MVA"/>
        <s v="6. MVA-kompensasjon"/>
        <s v="1. Lønn"/>
        <s v="9. Pensjon"/>
        <s v="91. Arbeidsgiveravgift"/>
        <s v="5. sykelønnsrefusjon"/>
        <s v="Avskrivinger"/>
        <m/>
        <s v="6. MVA-kompensasjon2"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60">
  <r>
    <s v="100"/>
    <s v="Politisk styring og kontroll"/>
    <n v="2010"/>
    <s v="Førskole"/>
    <n v="10810"/>
    <s v="Tapt arb.fortjeneste"/>
    <n v="-4037.4922671400004"/>
    <x v="0"/>
  </r>
  <r>
    <s v="121"/>
    <s v="Forsikringer"/>
    <n v="2010"/>
    <s v="Førskole"/>
    <n v="10930"/>
    <s v="Tariffpliktig gruppeliv/ulykke"/>
    <n v="53121.923900000002"/>
    <x v="1"/>
  </r>
  <r>
    <s v="121"/>
    <s v="Forsikringer"/>
    <n v="2010"/>
    <s v="Førskole"/>
    <n v="11860"/>
    <s v="Personforsikringer"/>
    <n v="66684.968299999993"/>
    <x v="1"/>
  </r>
  <r>
    <s v="121"/>
    <s v="Forsikringer"/>
    <n v="2010"/>
    <s v="Førskole"/>
    <n v="17700"/>
    <s v="Refusjoner fra andre (private)"/>
    <n v="-97201.818200000009"/>
    <x v="0"/>
  </r>
  <r>
    <s v="140"/>
    <s v="Personalkontor"/>
    <n v="2010"/>
    <s v="Førskole"/>
    <n v="11020"/>
    <s v="Abonnement/faglitteratur"/>
    <n v="8038.3643144000007"/>
    <x v="1"/>
  </r>
  <r>
    <s v="140"/>
    <s v="Personalkontor"/>
    <n v="2010"/>
    <s v="Førskole"/>
    <n v="11400"/>
    <s v="Annonser"/>
    <n v="63991.144236494009"/>
    <x v="1"/>
  </r>
  <r>
    <s v="140"/>
    <s v="Personalkontor"/>
    <n v="2010"/>
    <s v="Førskole"/>
    <n v="14290"/>
    <s v="Momskomp.utgift, drift"/>
    <n v="18007.382788991999"/>
    <x v="2"/>
  </r>
  <r>
    <s v="140"/>
    <s v="Personalkontor"/>
    <n v="2010"/>
    <s v="Førskole"/>
    <n v="17290"/>
    <s v="Momskomp.innt, drift"/>
    <n v="-18007.382788991999"/>
    <x v="3"/>
  </r>
  <r>
    <s v="141"/>
    <s v="Fellesstilinger"/>
    <n v="2010"/>
    <s v="Førskole"/>
    <n v="10525"/>
    <s v="Lønn, lærlinger"/>
    <n v="69042.948779087994"/>
    <x v="4"/>
  </r>
  <r>
    <s v="141"/>
    <s v="Fellesstilinger"/>
    <n v="2010"/>
    <s v="Førskole"/>
    <n v="10910"/>
    <s v="Pensjonspremie KLP"/>
    <n v="9321.2022639000006"/>
    <x v="5"/>
  </r>
  <r>
    <s v="141"/>
    <s v="Fellesstilinger"/>
    <n v="2010"/>
    <s v="Førskole"/>
    <n v="10990"/>
    <s v="Arbeidsgiveravgift"/>
    <n v="11569.2768732"/>
    <x v="6"/>
  </r>
  <r>
    <s v="141"/>
    <s v="Fellesstilinger"/>
    <n v="2010"/>
    <s v="Førskole"/>
    <n v="17300"/>
    <s v="Refusjoner fra fylkeskommuner"/>
    <n v="-29937.312315325002"/>
    <x v="7"/>
  </r>
  <r>
    <s v="160"/>
    <s v="Økonomi-/kasse/skatt"/>
    <n v="2010"/>
    <s v="Førskole"/>
    <n v="10100"/>
    <s v="Fast lønn"/>
    <n v="98332.071899999995"/>
    <x v="8"/>
  </r>
  <r>
    <s v="160"/>
    <s v="Økonomi-/kasse/skatt"/>
    <n v="2010"/>
    <s v="Førskole"/>
    <n v="10910"/>
    <s v="Pensjonspremie KLP"/>
    <n v="13563.044400000001"/>
    <x v="8"/>
  </r>
  <r>
    <s v="160"/>
    <s v="Økonomi-/kasse/skatt"/>
    <n v="2010"/>
    <s v="Førskole"/>
    <n v="10990"/>
    <s v="Arbeidsgiveravgift"/>
    <n v="15823.551799999999"/>
    <x v="8"/>
  </r>
  <r>
    <s v="180"/>
    <s v="Informasjon og næring"/>
    <n v="2010"/>
    <s v="Førskole"/>
    <n v="11010"/>
    <s v="Kopiering"/>
    <n v="47755.479332399998"/>
    <x v="1"/>
  </r>
  <r>
    <s v="180"/>
    <s v="Informasjon og næring"/>
    <n v="2010"/>
    <s v="Førskole"/>
    <n v="11200"/>
    <s v="Div. driftsutgifter"/>
    <n v="35037.864699999998"/>
    <x v="1"/>
  </r>
  <r>
    <s v="180"/>
    <s v="Informasjon og næring"/>
    <n v="2010"/>
    <s v="Førskole"/>
    <n v="11300"/>
    <s v="Telefonutgifter"/>
    <n v="36168.118399999999"/>
    <x v="1"/>
  </r>
  <r>
    <s v="180"/>
    <s v="Informasjon og næring"/>
    <n v="2010"/>
    <s v="Førskole"/>
    <n v="11310"/>
    <s v="Porto"/>
    <n v="81378.266400000008"/>
    <x v="1"/>
  </r>
  <r>
    <s v="180"/>
    <s v="Informasjon og næring"/>
    <n v="2010"/>
    <s v="Førskole"/>
    <n v="12000"/>
    <s v="Kjøp og finansiell leie av driftsmidler"/>
    <n v="65554.714600000007"/>
    <x v="1"/>
  </r>
  <r>
    <s v="180"/>
    <s v="Informasjon og næring"/>
    <n v="2010"/>
    <s v="Førskole"/>
    <n v="14290"/>
    <s v="Momskomp.utgift, drift"/>
    <n v="2331.7133831000001"/>
    <x v="2"/>
  </r>
  <r>
    <s v="180"/>
    <s v="Informasjon og næring"/>
    <n v="2010"/>
    <s v="Førskole"/>
    <n v="17290"/>
    <s v="Momskomp.innt, drift"/>
    <n v="-2331.7133831000001"/>
    <x v="3"/>
  </r>
  <r>
    <s v="181"/>
    <s v="IKT"/>
    <n v="2010"/>
    <s v="Førskole"/>
    <n v="11980"/>
    <s v="Lisenser"/>
    <n v="435147.67450000002"/>
    <x v="1"/>
  </r>
  <r>
    <s v="181"/>
    <s v="IKT"/>
    <n v="2010"/>
    <s v="Førskole"/>
    <n v="12071"/>
    <s v="EDB-utstyr"/>
    <n v="105113.59410000002"/>
    <x v="1"/>
  </r>
  <r>
    <s v="181"/>
    <s v="IKT"/>
    <n v="2010"/>
    <s v="Førskole"/>
    <n v="12470"/>
    <s v="EDB, service- /driftsavtaler og reparasjoner"/>
    <n v="76857.251600000003"/>
    <x v="1"/>
  </r>
  <r>
    <s v="181"/>
    <s v="IKT"/>
    <n v="2010"/>
    <s v="Førskole"/>
    <n v="12700"/>
    <s v="Konsulenttjenester"/>
    <n v="73466.4905"/>
    <x v="1"/>
  </r>
  <r>
    <s v="183"/>
    <s v="Servicetorg"/>
    <n v="2010"/>
    <s v="Førskole"/>
    <n v="10100"/>
    <s v="Fast lønn"/>
    <n v="102436.50909379098"/>
    <x v="8"/>
  </r>
  <r>
    <s v="183"/>
    <s v="Servicetorg"/>
    <n v="2010"/>
    <s v="Førskole"/>
    <n v="10910"/>
    <s v="Pensjonspremie KLP"/>
    <n v="13796.068805329"/>
    <x v="8"/>
  </r>
  <r>
    <s v="183"/>
    <s v="Servicetorg"/>
    <n v="2010"/>
    <s v="Førskole"/>
    <n v="10990"/>
    <s v="Arbeidsgiveravgift"/>
    <n v="16388.633439851998"/>
    <x v="8"/>
  </r>
  <r>
    <s v="210"/>
    <s v="Grunnskole H"/>
    <n v="2010"/>
    <s v="Førskole"/>
    <n v="10100"/>
    <s v="Fast lønn"/>
    <n v="40416.459494874995"/>
    <x v="0"/>
  </r>
  <r>
    <s v="210"/>
    <s v="Grunnskole H"/>
    <n v="2010"/>
    <s v="Førskole"/>
    <n v="10200"/>
    <s v="Vikarer"/>
    <n v="2916.2127815179997"/>
    <x v="0"/>
  </r>
  <r>
    <s v="210"/>
    <s v="Grunnskole H"/>
    <n v="2010"/>
    <s v="Førskole"/>
    <n v="10920"/>
    <s v="Pensjonspremie SPK"/>
    <n v="6579.5458638099999"/>
    <x v="0"/>
  </r>
  <r>
    <s v="210"/>
    <s v="Grunnskole H"/>
    <n v="2010"/>
    <s v="Førskole"/>
    <n v="10990"/>
    <s v="Arbeidsgiveravgift"/>
    <n v="-21668.839650141999"/>
    <x v="0"/>
  </r>
  <r>
    <s v="210"/>
    <s v="Grunnskole H"/>
    <n v="2010"/>
    <s v="Førskole"/>
    <n v="11020"/>
    <s v="Abonnement/faglitteratur"/>
    <n v="1859.5272948510001"/>
    <x v="0"/>
  </r>
  <r>
    <s v="210"/>
    <s v="Grunnskole H"/>
    <n v="2010"/>
    <s v="Førskole"/>
    <n v="11150"/>
    <s v="Matvarer"/>
    <n v="146.93298100000001"/>
    <x v="0"/>
  </r>
  <r>
    <s v="210"/>
    <s v="Grunnskole H"/>
    <n v="2010"/>
    <s v="Førskole"/>
    <n v="12071"/>
    <s v="EDB-utstyr"/>
    <n v="392.86488358299994"/>
    <x v="0"/>
  </r>
  <r>
    <s v="210"/>
    <s v="Grunnskole H"/>
    <n v="2010"/>
    <s v="Førskole"/>
    <n v="17100"/>
    <s v="Sykelønnsrefusjon"/>
    <n v="-192735.38193880001"/>
    <x v="0"/>
  </r>
  <r>
    <s v="210"/>
    <s v="Grunnskole H"/>
    <n v="2010"/>
    <s v="Førskole"/>
    <n v="17110"/>
    <s v="Ref.feriep. av sykep."/>
    <n v="-6461.5473775299997"/>
    <x v="0"/>
  </r>
  <r>
    <s v="270"/>
    <s v="Vi barnehage"/>
    <n v="2010"/>
    <s v="Førskole"/>
    <n v="10100"/>
    <s v="Fast lønn"/>
    <n v="6035165.9055170519"/>
    <x v="4"/>
  </r>
  <r>
    <s v="270"/>
    <s v="Vi barnehage"/>
    <n v="2010"/>
    <s v="Førskole"/>
    <n v="10200"/>
    <s v="Vikarer"/>
    <n v="290633.42511546297"/>
    <x v="4"/>
  </r>
  <r>
    <s v="270"/>
    <s v="Vi barnehage"/>
    <n v="2010"/>
    <s v="Førskole"/>
    <n v="10210"/>
    <s v="Vikarer m/refusjon"/>
    <n v="502007.77561081504"/>
    <x v="4"/>
  </r>
  <r>
    <s v="270"/>
    <s v="Vi barnehage"/>
    <n v="2010"/>
    <s v="Førskole"/>
    <n v="10400"/>
    <s v="Overtid"/>
    <n v="64005.001146856004"/>
    <x v="4"/>
  </r>
  <r>
    <s v="270"/>
    <s v="Vi barnehage"/>
    <n v="2010"/>
    <s v="Førskole"/>
    <n v="10500"/>
    <s v="Annen lønn og trekkpliktige godtgjørelser"/>
    <n v="72725.044072799996"/>
    <x v="9"/>
  </r>
  <r>
    <s v="270"/>
    <s v="Vi barnehage"/>
    <n v="2010"/>
    <s v="Førskole"/>
    <n v="10910"/>
    <s v="Pensjonspremie KLP"/>
    <n v="861316.794447792"/>
    <x v="5"/>
  </r>
  <r>
    <s v="270"/>
    <s v="Vi barnehage"/>
    <n v="2010"/>
    <s v="Førskole"/>
    <n v="10990"/>
    <s v="Arbeidsgiveravgift"/>
    <n v="1003469.4126337899"/>
    <x v="6"/>
  </r>
  <r>
    <s v="270"/>
    <s v="Vi barnehage"/>
    <n v="2010"/>
    <s v="Førskole"/>
    <n v="11000"/>
    <s v="Kontormateriell"/>
    <n v="9332.9795074539998"/>
    <x v="1"/>
  </r>
  <r>
    <s v="270"/>
    <s v="Vi barnehage"/>
    <n v="2010"/>
    <s v="Førskole"/>
    <n v="11010"/>
    <s v="Kopiering"/>
    <n v="-482.61832989999999"/>
    <x v="1"/>
  </r>
  <r>
    <s v="270"/>
    <s v="Vi barnehage"/>
    <n v="2010"/>
    <s v="Førskole"/>
    <n v="11020"/>
    <s v="Abonnement/faglitteratur"/>
    <n v="11760.900085498"/>
    <x v="1"/>
  </r>
  <r>
    <s v="270"/>
    <s v="Vi barnehage"/>
    <n v="2010"/>
    <s v="Førskole"/>
    <n v="11070"/>
    <s v="Leker/sysselsettingsutstyr"/>
    <n v="49005.087823119997"/>
    <x v="1"/>
  </r>
  <r>
    <s v="270"/>
    <s v="Vi barnehage"/>
    <n v="2010"/>
    <s v="Førskole"/>
    <n v="11100"/>
    <s v="Medisinsk forbruksmateriell"/>
    <n v="136.263386072"/>
    <x v="1"/>
  </r>
  <r>
    <s v="270"/>
    <s v="Vi barnehage"/>
    <n v="2010"/>
    <s v="Førskole"/>
    <n v="11150"/>
    <s v="Matvarer"/>
    <n v="248182.22639716297"/>
    <x v="1"/>
  </r>
  <r>
    <s v="270"/>
    <s v="Vi barnehage"/>
    <n v="2010"/>
    <s v="Førskole"/>
    <n v="11200"/>
    <s v="Div. driftsutgifter"/>
    <n v="7560.2669993"/>
    <x v="1"/>
  </r>
  <r>
    <s v="270"/>
    <s v="Vi barnehage"/>
    <n v="2010"/>
    <s v="Førskole"/>
    <n v="11210"/>
    <s v="Velferdstiltak, ansatte"/>
    <n v="593.38319250000006"/>
    <x v="1"/>
  </r>
  <r>
    <s v="270"/>
    <s v="Vi barnehage"/>
    <n v="2010"/>
    <s v="Førskole"/>
    <n v="11220"/>
    <s v="Velferdstiltak, brukere"/>
    <n v="2583.432184627"/>
    <x v="1"/>
  </r>
  <r>
    <s v="270"/>
    <s v="Vi barnehage"/>
    <n v="2010"/>
    <s v="Førskole"/>
    <n v="11230"/>
    <s v="Turer, leirskoler"/>
    <n v="1890.2475904170001"/>
    <x v="1"/>
  </r>
  <r>
    <s v="270"/>
    <s v="Vi barnehage"/>
    <n v="2010"/>
    <s v="Førskole"/>
    <n v="11300"/>
    <s v="Telefonutgifter"/>
    <n v="5045.4186091890006"/>
    <x v="1"/>
  </r>
  <r>
    <s v="270"/>
    <s v="Vi barnehage"/>
    <n v="2010"/>
    <s v="Førskole"/>
    <n v="11301"/>
    <s v="Oppg.pl. mobiltlf, interim"/>
    <n v="-2294.2680780189999"/>
    <x v="1"/>
  </r>
  <r>
    <s v="270"/>
    <s v="Vi barnehage"/>
    <n v="2010"/>
    <s v="Førskole"/>
    <n v="11500"/>
    <s v="Kursutgifter"/>
    <n v="4350.3464913000007"/>
    <x v="1"/>
  </r>
  <r>
    <s v="270"/>
    <s v="Vi barnehage"/>
    <n v="2010"/>
    <s v="Førskole"/>
    <n v="11600"/>
    <s v="Reiseutgifter, oppg. pl."/>
    <n v="533.31020834500009"/>
    <x v="1"/>
  </r>
  <r>
    <s v="270"/>
    <s v="Vi barnehage"/>
    <n v="2010"/>
    <s v="Førskole"/>
    <n v="11650"/>
    <s v="Andre oppgavepliktige godtgjørelser"/>
    <n v="30357.619758744"/>
    <x v="1"/>
  </r>
  <r>
    <s v="270"/>
    <s v="Vi barnehage"/>
    <n v="2010"/>
    <s v="Førskole"/>
    <n v="11651"/>
    <s v="Oppg.pl. telefoni"/>
    <n v="2617.7579894959995"/>
    <x v="1"/>
  </r>
  <r>
    <s v="270"/>
    <s v="Vi barnehage"/>
    <n v="2010"/>
    <s v="Førskole"/>
    <n v="11800"/>
    <s v="Energi"/>
    <n v="0"/>
    <x v="1"/>
  </r>
  <r>
    <s v="270"/>
    <s v="Vi barnehage"/>
    <n v="2010"/>
    <s v="Førskole"/>
    <n v="11960"/>
    <s v="Komm.avgifter"/>
    <n v="5416.2322430849999"/>
    <x v="1"/>
  </r>
  <r>
    <s v="270"/>
    <s v="Vi barnehage"/>
    <n v="2010"/>
    <s v="Førskole"/>
    <n v="11980"/>
    <s v="Lisenser"/>
    <n v="4747.0655400000005"/>
    <x v="1"/>
  </r>
  <r>
    <s v="270"/>
    <s v="Vi barnehage"/>
    <n v="2010"/>
    <s v="Førskole"/>
    <n v="11990"/>
    <s v="Gebyr"/>
    <n v="289.34494720000004"/>
    <x v="1"/>
  </r>
  <r>
    <s v="270"/>
    <s v="Vi barnehage"/>
    <n v="2010"/>
    <s v="Førskole"/>
    <n v="12000"/>
    <s v="Kjøp og finansiell leie av driftsmidler"/>
    <n v="70419.303919726008"/>
    <x v="1"/>
  </r>
  <r>
    <s v="270"/>
    <s v="Vi barnehage"/>
    <n v="2010"/>
    <s v="Førskole"/>
    <n v="12400"/>
    <s v="Service- /driftsavtaler og reparasjoner"/>
    <n v="1510.0189432"/>
    <x v="1"/>
  </r>
  <r>
    <s v="270"/>
    <s v="Vi barnehage"/>
    <n v="2010"/>
    <s v="Førskole"/>
    <n v="12470"/>
    <s v="EDB, service- /driftsavtaler og reparasjoner"/>
    <n v="2642.5331505999998"/>
    <x v="1"/>
  </r>
  <r>
    <s v="270"/>
    <s v="Vi barnehage"/>
    <n v="2010"/>
    <s v="Førskole"/>
    <n v="12700"/>
    <s v="Konsulenttjenester"/>
    <n v="129691.808496775"/>
    <x v="1"/>
  </r>
  <r>
    <s v="270"/>
    <s v="Vi barnehage"/>
    <n v="2010"/>
    <s v="Førskole"/>
    <n v="14290"/>
    <s v="Momskomp.utgift, drift"/>
    <n v="74583.395903803001"/>
    <x v="2"/>
  </r>
  <r>
    <s v="270"/>
    <s v="Vi barnehage"/>
    <n v="2010"/>
    <s v="Førskole"/>
    <n v="16000"/>
    <s v="Foreldrebetaling"/>
    <n v="-1727073.9940016998"/>
    <x v="10"/>
  </r>
  <r>
    <s v="270"/>
    <s v="Vi barnehage"/>
    <n v="2010"/>
    <s v="Førskole"/>
    <n v="16100"/>
    <s v="Egenbetaling pasienter"/>
    <n v="226.05073999999999"/>
    <x v="10"/>
  </r>
  <r>
    <s v="270"/>
    <s v="Vi barnehage"/>
    <n v="2010"/>
    <s v="Førskole"/>
    <n v="16110"/>
    <s v="Kosthold avg.fri"/>
    <n v="-161082.62707029999"/>
    <x v="11"/>
  </r>
  <r>
    <s v="270"/>
    <s v="Vi barnehage"/>
    <n v="2010"/>
    <s v="Førskole"/>
    <n v="16203"/>
    <s v="Kaffetrekk"/>
    <n v="-28515.769631760999"/>
    <x v="11"/>
  </r>
  <r>
    <s v="270"/>
    <s v="Vi barnehage"/>
    <n v="2010"/>
    <s v="Førskole"/>
    <n v="17000"/>
    <s v="Refusjoner fra staten"/>
    <n v="0"/>
    <x v="12"/>
  </r>
  <r>
    <s v="270"/>
    <s v="Vi barnehage"/>
    <n v="2010"/>
    <s v="Førskole"/>
    <n v="17100"/>
    <s v="Sykelønnsrefusjon"/>
    <n v="-635009.3060173"/>
    <x v="13"/>
  </r>
  <r>
    <s v="270"/>
    <s v="Vi barnehage"/>
    <n v="2010"/>
    <s v="Førskole"/>
    <n v="17110"/>
    <s v="Ref.feriep. av sykep."/>
    <n v="-30983.938544061995"/>
    <x v="13"/>
  </r>
  <r>
    <s v="270"/>
    <s v="Vi barnehage"/>
    <n v="2010"/>
    <s v="Førskole"/>
    <n v="17290"/>
    <s v="Momskomp.innt, drift"/>
    <n v="-74583.395903803001"/>
    <x v="3"/>
  </r>
  <r>
    <s v="270"/>
    <s v="Vi barnehage"/>
    <n v="2010"/>
    <s v="Førskole"/>
    <n v="17700"/>
    <s v="Refusjoner fra andre (private)"/>
    <n v="-199860.50126359999"/>
    <x v="12"/>
  </r>
  <r>
    <s v="271"/>
    <s v="Private barnehager"/>
    <n v="2010"/>
    <s v="Førskole"/>
    <n v="13700"/>
    <s v="Kjøp fra andre (private)"/>
    <n v="23017089.902275804"/>
    <x v="14"/>
  </r>
  <r>
    <s v="271"/>
    <s v="Private barnehager"/>
    <n v="2010"/>
    <s v="Førskole"/>
    <n v="14700"/>
    <s v="Overf. til andre"/>
    <n v="0"/>
    <x v="14"/>
  </r>
  <r>
    <s v="272"/>
    <s v="Gr barnehage"/>
    <n v="2010"/>
    <s v="Førskole"/>
    <n v="10100"/>
    <s v="Fast lønn"/>
    <n v="2986758.8999028667"/>
    <x v="4"/>
  </r>
  <r>
    <s v="272"/>
    <s v="Gr barnehage"/>
    <n v="2010"/>
    <s v="Førskole"/>
    <n v="10200"/>
    <s v="Vikarer"/>
    <n v="86451.251896931994"/>
    <x v="4"/>
  </r>
  <r>
    <s v="272"/>
    <s v="Gr barnehage"/>
    <n v="2010"/>
    <s v="Førskole"/>
    <n v="10210"/>
    <s v="Vikarer m/refusjon"/>
    <n v="315589.64155966596"/>
    <x v="4"/>
  </r>
  <r>
    <s v="272"/>
    <s v="Gr barnehage"/>
    <n v="2010"/>
    <s v="Førskole"/>
    <n v="10400"/>
    <s v="Overtid"/>
    <n v="13183.855586187001"/>
    <x v="4"/>
  </r>
  <r>
    <s v="272"/>
    <s v="Gr barnehage"/>
    <n v="2010"/>
    <s v="Førskole"/>
    <n v="10910"/>
    <s v="Pensjonspremie KLP"/>
    <n v="429671.07540679799"/>
    <x v="5"/>
  </r>
  <r>
    <s v="272"/>
    <s v="Gr barnehage"/>
    <n v="2010"/>
    <s v="Førskole"/>
    <n v="10990"/>
    <s v="Arbeidsgiveravgift"/>
    <n v="488819.96413667797"/>
    <x v="6"/>
  </r>
  <r>
    <s v="272"/>
    <s v="Gr barnehage"/>
    <n v="2010"/>
    <s v="Førskole"/>
    <n v="11000"/>
    <s v="Kontormateriell"/>
    <n v="5206.3215259210001"/>
    <x v="1"/>
  </r>
  <r>
    <s v="272"/>
    <s v="Gr barnehage"/>
    <n v="2010"/>
    <s v="Førskole"/>
    <n v="11020"/>
    <s v="Abonnement/faglitteratur"/>
    <n v="12686.351815057998"/>
    <x v="1"/>
  </r>
  <r>
    <s v="272"/>
    <s v="Gr barnehage"/>
    <n v="2010"/>
    <s v="Førskole"/>
    <n v="11070"/>
    <s v="Leker/sysselsettingsutstyr"/>
    <n v="18983.029085368998"/>
    <x v="1"/>
  </r>
  <r>
    <s v="272"/>
    <s v="Gr barnehage"/>
    <n v="2010"/>
    <s v="Førskole"/>
    <n v="11100"/>
    <s v="Medisinsk forbruksmateriell"/>
    <n v="1013.1594166799999"/>
    <x v="1"/>
  </r>
  <r>
    <s v="272"/>
    <s v="Gr barnehage"/>
    <n v="2010"/>
    <s v="Førskole"/>
    <n v="11150"/>
    <s v="Matvarer"/>
    <n v="91628.672835744001"/>
    <x v="1"/>
  </r>
  <r>
    <s v="272"/>
    <s v="Gr barnehage"/>
    <n v="2010"/>
    <s v="Førskole"/>
    <n v="11200"/>
    <s v="Div. driftsutgifter"/>
    <n v="23124.617718278998"/>
    <x v="1"/>
  </r>
  <r>
    <s v="272"/>
    <s v="Gr barnehage"/>
    <n v="2010"/>
    <s v="Førskole"/>
    <n v="11210"/>
    <s v="Velferdstiltak, ansatte"/>
    <n v="5370.9994900109996"/>
    <x v="1"/>
  </r>
  <r>
    <s v="272"/>
    <s v="Gr barnehage"/>
    <n v="2010"/>
    <s v="Førskole"/>
    <n v="11230"/>
    <s v="Turer, leirskoler"/>
    <n v="2998.9360498209999"/>
    <x v="1"/>
  </r>
  <r>
    <s v="272"/>
    <s v="Gr barnehage"/>
    <n v="2010"/>
    <s v="Førskole"/>
    <n v="11300"/>
    <s v="Telefonutgifter"/>
    <n v="12247.779471847"/>
    <x v="1"/>
  </r>
  <r>
    <s v="272"/>
    <s v="Gr barnehage"/>
    <n v="2010"/>
    <s v="Førskole"/>
    <n v="11301"/>
    <s v="Oppg.pl. mobiltlf, interim"/>
    <n v="-3345.9917509429997"/>
    <x v="1"/>
  </r>
  <r>
    <s v="272"/>
    <s v="Gr barnehage"/>
    <n v="2010"/>
    <s v="Førskole"/>
    <n v="11500"/>
    <s v="Kursutgifter"/>
    <n v="7829.2673798999995"/>
    <x v="1"/>
  </r>
  <r>
    <s v="272"/>
    <s v="Gr barnehage"/>
    <n v="2010"/>
    <s v="Førskole"/>
    <n v="11600"/>
    <s v="Reiseutgifter, oppg. pl."/>
    <n v="2400.31978269"/>
    <x v="1"/>
  </r>
  <r>
    <s v="272"/>
    <s v="Gr barnehage"/>
    <n v="2010"/>
    <s v="Førskole"/>
    <n v="11650"/>
    <s v="Andre oppgavepliktige godtgjørelser"/>
    <n v="15062.597193937998"/>
    <x v="1"/>
  </r>
  <r>
    <s v="272"/>
    <s v="Gr barnehage"/>
    <n v="2010"/>
    <s v="Førskole"/>
    <n v="11651"/>
    <s v="Oppg.pl. telefoni"/>
    <n v="5158.4213741149997"/>
    <x v="1"/>
  </r>
  <r>
    <s v="272"/>
    <s v="Gr barnehage"/>
    <n v="2010"/>
    <s v="Førskole"/>
    <n v="11700"/>
    <s v="Transportutgifter"/>
    <n v="0"/>
    <x v="1"/>
  </r>
  <r>
    <s v="272"/>
    <s v="Gr barnehage"/>
    <n v="2010"/>
    <s v="Førskole"/>
    <n v="11900"/>
    <s v="Husleie"/>
    <n v="226.05073999999999"/>
    <x v="1"/>
  </r>
  <r>
    <s v="272"/>
    <s v="Gr barnehage"/>
    <n v="2010"/>
    <s v="Førskole"/>
    <n v="11960"/>
    <s v="Komm.avgifter"/>
    <n v="6538.5176545000004"/>
    <x v="1"/>
  </r>
  <r>
    <s v="272"/>
    <s v="Gr barnehage"/>
    <n v="2010"/>
    <s v="Førskole"/>
    <n v="11980"/>
    <s v="Lisenser"/>
    <n v="0"/>
    <x v="1"/>
  </r>
  <r>
    <s v="272"/>
    <s v="Gr barnehage"/>
    <n v="2010"/>
    <s v="Førskole"/>
    <n v="12000"/>
    <s v="Kjøp og finansiell leie av driftsmidler"/>
    <n v="24064.005475959999"/>
    <x v="1"/>
  </r>
  <r>
    <s v="272"/>
    <s v="Gr barnehage"/>
    <n v="2010"/>
    <s v="Førskole"/>
    <n v="12200"/>
    <s v="Maskiner, større utstyr"/>
    <n v="0"/>
    <x v="1"/>
  </r>
  <r>
    <s v="272"/>
    <s v="Gr barnehage"/>
    <n v="2010"/>
    <s v="Førskole"/>
    <n v="12400"/>
    <s v="Service- /driftsavtaler og reparasjoner"/>
    <n v="0"/>
    <x v="1"/>
  </r>
  <r>
    <s v="272"/>
    <s v="Gr barnehage"/>
    <n v="2010"/>
    <s v="Førskole"/>
    <n v="14290"/>
    <s v="Momskomp.utgift, drift"/>
    <n v="36233.616601915004"/>
    <x v="2"/>
  </r>
  <r>
    <s v="272"/>
    <s v="Gr barnehage"/>
    <n v="2010"/>
    <s v="Førskole"/>
    <n v="16000"/>
    <s v="Foreldrebetaling"/>
    <n v="-942540.03525030008"/>
    <x v="10"/>
  </r>
  <r>
    <s v="272"/>
    <s v="Gr barnehage"/>
    <n v="2010"/>
    <s v="Førskole"/>
    <n v="16110"/>
    <s v="Kosthold avg.fri"/>
    <n v="-70229.443903199994"/>
    <x v="11"/>
  </r>
  <r>
    <s v="272"/>
    <s v="Gr barnehage"/>
    <n v="2010"/>
    <s v="Førskole"/>
    <n v="16203"/>
    <s v="Kaffetrekk"/>
    <n v="-11407.571476341001"/>
    <x v="11"/>
  </r>
  <r>
    <s v="272"/>
    <s v="Gr barnehage"/>
    <n v="2010"/>
    <s v="Førskole"/>
    <n v="17100"/>
    <s v="Sykelønnsrefusjon"/>
    <n v="-302411.81022569997"/>
    <x v="13"/>
  </r>
  <r>
    <s v="272"/>
    <s v="Gr barnehage"/>
    <n v="2010"/>
    <s v="Førskole"/>
    <n v="17110"/>
    <s v="Ref.feriep. av sykep."/>
    <n v="-10086.304901041"/>
    <x v="13"/>
  </r>
  <r>
    <s v="272"/>
    <s v="Gr barnehage"/>
    <n v="2010"/>
    <s v="Førskole"/>
    <n v="17290"/>
    <s v="Momskomp.innt, drift"/>
    <n v="-36199.539452860001"/>
    <x v="3"/>
  </r>
  <r>
    <s v="273"/>
    <s v="So barnehage"/>
    <n v="2010"/>
    <s v="Førskole"/>
    <n v="10100"/>
    <s v="Fast lønn"/>
    <n v="8692190.0840149"/>
    <x v="4"/>
  </r>
  <r>
    <s v="273"/>
    <s v="So barnehage"/>
    <n v="2010"/>
    <s v="Førskole"/>
    <n v="10200"/>
    <s v="Vikarer"/>
    <n v="248798.542437236"/>
    <x v="4"/>
  </r>
  <r>
    <s v="273"/>
    <s v="So barnehage"/>
    <n v="2010"/>
    <s v="Førskole"/>
    <n v="10210"/>
    <s v="Vikarer m/refusjon"/>
    <n v="371151.17286096798"/>
    <x v="4"/>
  </r>
  <r>
    <s v="273"/>
    <s v="So barnehage"/>
    <n v="2010"/>
    <s v="Førskole"/>
    <n v="10400"/>
    <s v="Overtid"/>
    <n v="62521.271904718"/>
    <x v="4"/>
  </r>
  <r>
    <s v="273"/>
    <s v="So barnehage"/>
    <n v="2010"/>
    <s v="Førskole"/>
    <n v="10500"/>
    <s v="Annen lønn og trekkpliktige godtgjørelser"/>
    <n v="0"/>
    <x v="4"/>
  </r>
  <r>
    <s v="273"/>
    <s v="So barnehage"/>
    <n v="2010"/>
    <s v="Førskole"/>
    <n v="10910"/>
    <s v="Pensjonspremie KLP"/>
    <n v="1213533.4148045841"/>
    <x v="5"/>
  </r>
  <r>
    <s v="273"/>
    <s v="So barnehage"/>
    <n v="2010"/>
    <s v="Førskole"/>
    <n v="10990"/>
    <s v="Arbeidsgiveravgift"/>
    <n v="1387784.220842252"/>
    <x v="6"/>
  </r>
  <r>
    <s v="273"/>
    <s v="So barnehage"/>
    <n v="2010"/>
    <s v="Førskole"/>
    <n v="11000"/>
    <s v="Kontormateriell"/>
    <n v="15127.586781688"/>
    <x v="1"/>
  </r>
  <r>
    <s v="273"/>
    <s v="So barnehage"/>
    <n v="2010"/>
    <s v="Førskole"/>
    <n v="11020"/>
    <s v="Abonnement/faglitteratur"/>
    <n v="13876.011649529999"/>
    <x v="1"/>
  </r>
  <r>
    <s v="273"/>
    <s v="So barnehage"/>
    <n v="2010"/>
    <s v="Førskole"/>
    <n v="11070"/>
    <s v="Leker/sysselsettingsutstyr"/>
    <n v="50926.293062379998"/>
    <x v="1"/>
  </r>
  <r>
    <s v="273"/>
    <s v="So barnehage"/>
    <n v="2010"/>
    <s v="Førskole"/>
    <n v="11100"/>
    <s v="Medisinsk forbruksmateriell"/>
    <n v="708.44301915999995"/>
    <x v="1"/>
  </r>
  <r>
    <s v="273"/>
    <s v="So barnehage"/>
    <n v="2010"/>
    <s v="Førskole"/>
    <n v="11150"/>
    <s v="Matvarer"/>
    <n v="416185.62292330305"/>
    <x v="1"/>
  </r>
  <r>
    <s v="273"/>
    <s v="So barnehage"/>
    <n v="2010"/>
    <s v="Førskole"/>
    <n v="11200"/>
    <s v="Div. driftsutgifter"/>
    <n v="25349.782085080005"/>
    <x v="1"/>
  </r>
  <r>
    <s v="273"/>
    <s v="So barnehage"/>
    <n v="2010"/>
    <s v="Førskole"/>
    <n v="11250"/>
    <s v="Rengjøringsmidler"/>
    <n v="0"/>
    <x v="1"/>
  </r>
  <r>
    <s v="273"/>
    <s v="So barnehage"/>
    <n v="2010"/>
    <s v="Førskole"/>
    <n v="11260"/>
    <s v="Tekstiler"/>
    <n v="22563.921462782997"/>
    <x v="1"/>
  </r>
  <r>
    <s v="273"/>
    <s v="So barnehage"/>
    <n v="2010"/>
    <s v="Førskole"/>
    <n v="11300"/>
    <s v="Telefonutgifter"/>
    <n v="9613.7910392190006"/>
    <x v="1"/>
  </r>
  <r>
    <s v="273"/>
    <s v="So barnehage"/>
    <n v="2010"/>
    <s v="Førskole"/>
    <n v="11500"/>
    <s v="Kursutgifter"/>
    <n v="17223.936134300002"/>
    <x v="1"/>
  </r>
  <r>
    <s v="273"/>
    <s v="So barnehage"/>
    <n v="2010"/>
    <s v="Førskole"/>
    <n v="11600"/>
    <s v="Reiseutgifter, oppg. pl."/>
    <n v="259.90183831500002"/>
    <x v="1"/>
  </r>
  <r>
    <s v="273"/>
    <s v="So barnehage"/>
    <n v="2010"/>
    <s v="Førskole"/>
    <n v="11650"/>
    <s v="Andre oppgavepliktige godtgjørelser"/>
    <n v="43611.584981942004"/>
    <x v="1"/>
  </r>
  <r>
    <s v="273"/>
    <s v="So barnehage"/>
    <n v="2010"/>
    <s v="Førskole"/>
    <n v="11700"/>
    <s v="Transportutgifter"/>
    <n v="5033.8109036899996"/>
    <x v="1"/>
  </r>
  <r>
    <s v="273"/>
    <s v="So barnehage"/>
    <n v="2010"/>
    <s v="Førskole"/>
    <n v="11970"/>
    <s v="Kontingenter"/>
    <n v="0"/>
    <x v="1"/>
  </r>
  <r>
    <s v="273"/>
    <s v="So barnehage"/>
    <n v="2010"/>
    <s v="Førskole"/>
    <n v="11980"/>
    <s v="Lisenser"/>
    <n v="7339.8675278000001"/>
    <x v="1"/>
  </r>
  <r>
    <s v="273"/>
    <s v="So barnehage"/>
    <n v="2010"/>
    <s v="Førskole"/>
    <n v="12000"/>
    <s v="Kjøp og finansiell leie av driftsmidler"/>
    <n v="63172.015472492996"/>
    <x v="1"/>
  </r>
  <r>
    <s v="273"/>
    <s v="So barnehage"/>
    <n v="2010"/>
    <s v="Førskole"/>
    <n v="12200"/>
    <s v="Maskiner, større utstyr"/>
    <n v="9680.3968897599989"/>
    <x v="1"/>
  </r>
  <r>
    <s v="273"/>
    <s v="So barnehage"/>
    <n v="2010"/>
    <s v="Førskole"/>
    <n v="12700"/>
    <s v="Konsulenttjenester"/>
    <n v="635306.20105921605"/>
    <x v="1"/>
  </r>
  <r>
    <s v="273"/>
    <s v="So barnehage"/>
    <n v="2010"/>
    <s v="Førskole"/>
    <n v="14290"/>
    <s v="Momskomp.utgift, drift"/>
    <n v="102583.75854582702"/>
    <x v="2"/>
  </r>
  <r>
    <s v="273"/>
    <s v="So barnehage"/>
    <n v="2010"/>
    <s v="Førskole"/>
    <n v="16000"/>
    <s v="Foreldrebetaling"/>
    <n v="-2601601.0128545002"/>
    <x v="10"/>
  </r>
  <r>
    <s v="273"/>
    <s v="So barnehage"/>
    <n v="2010"/>
    <s v="Førskole"/>
    <n v="16110"/>
    <s v="Kosthold avg.fri"/>
    <n v="-253101.66692895"/>
    <x v="11"/>
  </r>
  <r>
    <s v="273"/>
    <s v="So barnehage"/>
    <n v="2010"/>
    <s v="Førskole"/>
    <n v="16202"/>
    <s v="Div. inntekter"/>
    <n v="-10458.237486100001"/>
    <x v="12"/>
  </r>
  <r>
    <s v="273"/>
    <s v="So barnehage"/>
    <n v="2010"/>
    <s v="Førskole"/>
    <n v="16203"/>
    <s v="Kaffetrekk"/>
    <n v="-41355.790739871009"/>
    <x v="11"/>
  </r>
  <r>
    <s v="273"/>
    <s v="So barnehage"/>
    <n v="2010"/>
    <s v="Førskole"/>
    <n v="17000"/>
    <s v="Refusjoner fra staten"/>
    <n v="-19666.414379999998"/>
    <x v="12"/>
  </r>
  <r>
    <s v="273"/>
    <s v="So barnehage"/>
    <n v="2010"/>
    <s v="Førskole"/>
    <n v="17100"/>
    <s v="Sykelønnsrefusjon"/>
    <n v="-507091.71326609998"/>
    <x v="13"/>
  </r>
  <r>
    <s v="273"/>
    <s v="So barnehage"/>
    <n v="2010"/>
    <s v="Førskole"/>
    <n v="17110"/>
    <s v="Ref.feriep. av sykep."/>
    <n v="-22163.969888501"/>
    <x v="13"/>
  </r>
  <r>
    <s v="273"/>
    <s v="So barnehage"/>
    <n v="2010"/>
    <s v="Førskole"/>
    <n v="17290"/>
    <s v="Momskomp.innt, drift"/>
    <n v="-102583.75854582702"/>
    <x v="3"/>
  </r>
  <r>
    <s v="274"/>
    <s v="Vio barnehage"/>
    <n v="2010"/>
    <s v="Førskole"/>
    <n v="10100"/>
    <s v="Fast lønn"/>
    <n v="8415185.4388546273"/>
    <x v="4"/>
  </r>
  <r>
    <s v="274"/>
    <s v="Vio barnehage"/>
    <n v="2010"/>
    <s v="Førskole"/>
    <n v="10200"/>
    <s v="Vikarer"/>
    <n v="265280.06012615399"/>
    <x v="4"/>
  </r>
  <r>
    <s v="274"/>
    <s v="Vio barnehage"/>
    <n v="2010"/>
    <s v="Førskole"/>
    <n v="10210"/>
    <s v="Vikarer m/refusjon"/>
    <n v="765603.78032904305"/>
    <x v="4"/>
  </r>
  <r>
    <s v="274"/>
    <s v="Vio barnehage"/>
    <n v="2010"/>
    <s v="Førskole"/>
    <n v="10400"/>
    <s v="Overtid"/>
    <n v="64755.003594564994"/>
    <x v="4"/>
  </r>
  <r>
    <s v="274"/>
    <s v="Vio barnehage"/>
    <n v="2010"/>
    <s v="Førskole"/>
    <n v="10910"/>
    <s v="Pensjonspremie KLP"/>
    <n v="1245711.3872649372"/>
    <x v="5"/>
  </r>
  <r>
    <s v="274"/>
    <s v="Vio barnehage"/>
    <n v="2010"/>
    <s v="Førskole"/>
    <n v="10990"/>
    <s v="Arbeidsgiveravgift"/>
    <n v="1378672.5902194059"/>
    <x v="6"/>
  </r>
  <r>
    <s v="274"/>
    <s v="Vio barnehage"/>
    <n v="2010"/>
    <s v="Førskole"/>
    <n v="11000"/>
    <s v="Kontormateriell"/>
    <n v="16514.408071588001"/>
    <x v="1"/>
  </r>
  <r>
    <s v="274"/>
    <s v="Vio barnehage"/>
    <n v="2010"/>
    <s v="Førskole"/>
    <n v="11020"/>
    <s v="Abonnement/faglitteratur"/>
    <n v="7756.36601625"/>
    <x v="1"/>
  </r>
  <r>
    <s v="274"/>
    <s v="Vio barnehage"/>
    <n v="2010"/>
    <s v="Førskole"/>
    <n v="11070"/>
    <s v="Leker/sysselsettingsutstyr"/>
    <n v="93720.828947129005"/>
    <x v="1"/>
  </r>
  <r>
    <s v="274"/>
    <s v="Vio barnehage"/>
    <n v="2010"/>
    <s v="Førskole"/>
    <n v="11100"/>
    <s v="Medisinsk forbruksmateriell"/>
    <n v="4231.0369107280003"/>
    <x v="1"/>
  </r>
  <r>
    <s v="274"/>
    <s v="Vio barnehage"/>
    <n v="2010"/>
    <s v="Førskole"/>
    <n v="11150"/>
    <s v="Matvarer"/>
    <n v="389499.84705721203"/>
    <x v="1"/>
  </r>
  <r>
    <s v="274"/>
    <s v="Vio barnehage"/>
    <n v="2010"/>
    <s v="Førskole"/>
    <n v="11151"/>
    <s v="Personalmat"/>
    <n v="5393.548051325999"/>
    <x v="1"/>
  </r>
  <r>
    <s v="274"/>
    <s v="Vio barnehage"/>
    <n v="2010"/>
    <s v="Førskole"/>
    <n v="11200"/>
    <s v="Div. driftsutgifter"/>
    <n v="83859.444532388006"/>
    <x v="1"/>
  </r>
  <r>
    <s v="274"/>
    <s v="Vio barnehage"/>
    <n v="2010"/>
    <s v="Førskole"/>
    <n v="11300"/>
    <s v="Telefonutgifter"/>
    <n v="4020.9792605830003"/>
    <x v="1"/>
  </r>
  <r>
    <s v="274"/>
    <s v="Vio barnehage"/>
    <n v="2010"/>
    <s v="Førskole"/>
    <n v="11301"/>
    <s v="Oppg.pl. mobiltlf, interim"/>
    <n v="-992.82615261700005"/>
    <x v="1"/>
  </r>
  <r>
    <s v="274"/>
    <s v="Vio barnehage"/>
    <n v="2010"/>
    <s v="Førskole"/>
    <n v="11500"/>
    <s v="Kursutgifter"/>
    <n v="35010.286509719997"/>
    <x v="1"/>
  </r>
  <r>
    <s v="274"/>
    <s v="Vio barnehage"/>
    <n v="2010"/>
    <s v="Førskole"/>
    <n v="11600"/>
    <s v="Reiseutgifter, oppg. pl."/>
    <n v="3051.6849899999997"/>
    <x v="1"/>
  </r>
  <r>
    <s v="274"/>
    <s v="Vio barnehage"/>
    <n v="2010"/>
    <s v="Førskole"/>
    <n v="11650"/>
    <s v="Andre oppgavepliktige godtgjørelser"/>
    <n v="44118.029059838002"/>
    <x v="1"/>
  </r>
  <r>
    <s v="274"/>
    <s v="Vio barnehage"/>
    <n v="2010"/>
    <s v="Førskole"/>
    <n v="11651"/>
    <s v="Oppg.pl. telefoni"/>
    <n v="11312.946636576999"/>
    <x v="1"/>
  </r>
  <r>
    <s v="274"/>
    <s v="Vio barnehage"/>
    <n v="2010"/>
    <s v="Førskole"/>
    <n v="11700"/>
    <s v="Transportutgifter"/>
    <n v="1785.8008460000001"/>
    <x v="1"/>
  </r>
  <r>
    <s v="274"/>
    <s v="Vio barnehage"/>
    <n v="2010"/>
    <s v="Førskole"/>
    <n v="11960"/>
    <s v="Komm.avgifter"/>
    <n v="5597.8074999899991"/>
    <x v="1"/>
  </r>
  <r>
    <s v="274"/>
    <s v="Vio barnehage"/>
    <n v="2010"/>
    <s v="Førskole"/>
    <n v="11980"/>
    <s v="Lisenser"/>
    <n v="7339.8675278000001"/>
    <x v="1"/>
  </r>
  <r>
    <s v="274"/>
    <s v="Vio barnehage"/>
    <n v="2010"/>
    <s v="Førskole"/>
    <n v="11990"/>
    <s v="Gebyr"/>
    <n v="686.51609737999991"/>
    <x v="1"/>
  </r>
  <r>
    <s v="274"/>
    <s v="Vio barnehage"/>
    <n v="2010"/>
    <s v="Førskole"/>
    <n v="12000"/>
    <s v="Kjøp og finansiell leie av driftsmidler"/>
    <n v="44019.120558551003"/>
    <x v="1"/>
  </r>
  <r>
    <s v="274"/>
    <s v="Vio barnehage"/>
    <n v="2010"/>
    <s v="Førskole"/>
    <n v="12400"/>
    <s v="Service- /driftsavtaler og reparasjoner"/>
    <n v="0"/>
    <x v="1"/>
  </r>
  <r>
    <s v="274"/>
    <s v="Vio barnehage"/>
    <n v="2010"/>
    <s v="Førskole"/>
    <n v="12700"/>
    <s v="Konsulenttjenester"/>
    <n v="173023.47484737501"/>
    <x v="1"/>
  </r>
  <r>
    <s v="274"/>
    <s v="Vio barnehage"/>
    <n v="2010"/>
    <s v="Førskole"/>
    <n v="13700"/>
    <s v="Kjøp fra andre (private)"/>
    <n v="1695.3805500000001"/>
    <x v="1"/>
  </r>
  <r>
    <s v="274"/>
    <s v="Vio barnehage"/>
    <n v="2010"/>
    <s v="Førskole"/>
    <n v="14290"/>
    <s v="Momskomp.utgift, drift"/>
    <n v="117439.564522813"/>
    <x v="2"/>
  </r>
  <r>
    <s v="274"/>
    <s v="Vio barnehage"/>
    <n v="2010"/>
    <s v="Førskole"/>
    <n v="16000"/>
    <s v="Foreldrebetaling"/>
    <n v="-2734081.4397925995"/>
    <x v="10"/>
  </r>
  <r>
    <s v="274"/>
    <s v="Vio barnehage"/>
    <n v="2010"/>
    <s v="Førskole"/>
    <n v="16110"/>
    <s v="Kosthold avg.fri"/>
    <n v="-254480.01131609999"/>
    <x v="11"/>
  </r>
  <r>
    <s v="274"/>
    <s v="Vio barnehage"/>
    <n v="2010"/>
    <s v="Førskole"/>
    <n v="16203"/>
    <s v="Kaffetrekk"/>
    <n v="-41045.931688016004"/>
    <x v="11"/>
  </r>
  <r>
    <s v="274"/>
    <s v="Vio barnehage"/>
    <n v="2010"/>
    <s v="Førskole"/>
    <n v="17000"/>
    <s v="Refusjoner fra staten"/>
    <n v="-90584.182786499994"/>
    <x v="12"/>
  </r>
  <r>
    <s v="274"/>
    <s v="Vio barnehage"/>
    <n v="2010"/>
    <s v="Førskole"/>
    <n v="17100"/>
    <s v="Sykelønnsrefusjon"/>
    <n v="-875763.51640059997"/>
    <x v="13"/>
  </r>
  <r>
    <s v="274"/>
    <s v="Vio barnehage"/>
    <n v="2010"/>
    <s v="Førskole"/>
    <n v="17110"/>
    <s v="Ref.feriep. av sykep."/>
    <n v="-57755.353733001997"/>
    <x v="13"/>
  </r>
  <r>
    <s v="274"/>
    <s v="Vio barnehage"/>
    <n v="2010"/>
    <s v="Førskole"/>
    <n v="17290"/>
    <s v="Momskomp.innt, drift"/>
    <n v="-117439.564522813"/>
    <x v="3"/>
  </r>
  <r>
    <s v="274"/>
    <s v="Vio barnehage"/>
    <n v="2010"/>
    <s v="Førskole"/>
    <n v="17700"/>
    <s v="Refusjoner fra andre (private)"/>
    <n v="-13767.6203197"/>
    <x v="15"/>
  </r>
  <r>
    <s v="276"/>
    <s v="Fj barnehage"/>
    <n v="2010"/>
    <s v="Førskole"/>
    <n v="10100"/>
    <s v="Fast lønn"/>
    <n v="2704871.4457332245"/>
    <x v="4"/>
  </r>
  <r>
    <s v="276"/>
    <s v="Fj barnehage"/>
    <n v="2010"/>
    <s v="Førskole"/>
    <n v="10200"/>
    <s v="Vikarer"/>
    <n v="85724.046666351991"/>
    <x v="4"/>
  </r>
  <r>
    <s v="276"/>
    <s v="Fj barnehage"/>
    <n v="2010"/>
    <s v="Førskole"/>
    <n v="10210"/>
    <s v="Vikarer m/refusjon"/>
    <n v="175810.47702590903"/>
    <x v="4"/>
  </r>
  <r>
    <s v="276"/>
    <s v="Fj barnehage"/>
    <n v="2010"/>
    <s v="Førskole"/>
    <n v="10400"/>
    <s v="Overtid"/>
    <n v="16856.660194484997"/>
    <x v="4"/>
  </r>
  <r>
    <s v="276"/>
    <s v="Fj barnehage"/>
    <n v="2010"/>
    <s v="Førskole"/>
    <n v="10910"/>
    <s v="Pensjonspremie KLP"/>
    <n v="378118.40704641503"/>
    <x v="5"/>
  </r>
  <r>
    <s v="276"/>
    <s v="Fj barnehage"/>
    <n v="2010"/>
    <s v="Førskole"/>
    <n v="10990"/>
    <s v="Arbeidsgiveravgift"/>
    <n v="444678.74227091594"/>
    <x v="6"/>
  </r>
  <r>
    <s v="276"/>
    <s v="Fj barnehage"/>
    <n v="2010"/>
    <s v="Førskole"/>
    <n v="11000"/>
    <s v="Kontormateriell"/>
    <n v="2381.33152053"/>
    <x v="1"/>
  </r>
  <r>
    <s v="276"/>
    <s v="Fj barnehage"/>
    <n v="2010"/>
    <s v="Førskole"/>
    <n v="11010"/>
    <s v="Kopiering"/>
    <n v="3955.8879499999998"/>
    <x v="1"/>
  </r>
  <r>
    <s v="276"/>
    <s v="Fj barnehage"/>
    <n v="2010"/>
    <s v="Førskole"/>
    <n v="11020"/>
    <s v="Abonnement/faglitteratur"/>
    <n v="5838.1446467579999"/>
    <x v="1"/>
  </r>
  <r>
    <s v="276"/>
    <s v="Fj barnehage"/>
    <n v="2010"/>
    <s v="Førskole"/>
    <n v="11070"/>
    <s v="Leker/sysselsettingsutstyr"/>
    <n v="57702.695213119005"/>
    <x v="1"/>
  </r>
  <r>
    <s v="276"/>
    <s v="Fj barnehage"/>
    <n v="2010"/>
    <s v="Førskole"/>
    <n v="11100"/>
    <s v="Medisinsk forbruksmateriell"/>
    <n v="94.037107840000004"/>
    <x v="1"/>
  </r>
  <r>
    <s v="276"/>
    <s v="Fj barnehage"/>
    <n v="2010"/>
    <s v="Førskole"/>
    <n v="11150"/>
    <s v="Matvarer"/>
    <n v="105840.46025447"/>
    <x v="1"/>
  </r>
  <r>
    <s v="276"/>
    <s v="Fj barnehage"/>
    <n v="2010"/>
    <s v="Førskole"/>
    <n v="11200"/>
    <s v="Div. driftsutgifter"/>
    <n v="848.24409931300011"/>
    <x v="1"/>
  </r>
  <r>
    <s v="276"/>
    <s v="Fj barnehage"/>
    <n v="2010"/>
    <s v="Førskole"/>
    <n v="11210"/>
    <s v="Velferdstiltak, ansatte"/>
    <n v="6402.8872104999991"/>
    <x v="1"/>
  </r>
  <r>
    <s v="276"/>
    <s v="Fj barnehage"/>
    <n v="2010"/>
    <s v="Førskole"/>
    <n v="11250"/>
    <s v="Rengjøringsmidler"/>
    <n v="0"/>
    <x v="1"/>
  </r>
  <r>
    <s v="276"/>
    <s v="Fj barnehage"/>
    <n v="2010"/>
    <s v="Førskole"/>
    <n v="11300"/>
    <s v="Telefonutgifter"/>
    <n v="12872.775860336002"/>
    <x v="1"/>
  </r>
  <r>
    <s v="276"/>
    <s v="Fj barnehage"/>
    <n v="2010"/>
    <s v="Førskole"/>
    <n v="11301"/>
    <s v="Oppg.pl. mobiltlf, interim"/>
    <n v="-4520.9469847780001"/>
    <x v="1"/>
  </r>
  <r>
    <s v="276"/>
    <s v="Fj barnehage"/>
    <n v="2010"/>
    <s v="Førskole"/>
    <n v="11500"/>
    <s v="Kursutgifter"/>
    <n v="5668.2223054999995"/>
    <x v="1"/>
  </r>
  <r>
    <s v="276"/>
    <s v="Fj barnehage"/>
    <n v="2010"/>
    <s v="Førskole"/>
    <n v="11600"/>
    <s v="Reiseutgifter, oppg. pl."/>
    <n v="0"/>
    <x v="1"/>
  </r>
  <r>
    <s v="276"/>
    <s v="Fj barnehage"/>
    <n v="2010"/>
    <s v="Førskole"/>
    <n v="11650"/>
    <s v="Andre oppgavepliktige godtgjørelser"/>
    <n v="13868.823235998001"/>
    <x v="1"/>
  </r>
  <r>
    <s v="276"/>
    <s v="Fj barnehage"/>
    <n v="2010"/>
    <s v="Førskole"/>
    <n v="11651"/>
    <s v="Oppg.pl. telefoni"/>
    <n v="5158.4100715779996"/>
    <x v="1"/>
  </r>
  <r>
    <s v="276"/>
    <s v="Fj barnehage"/>
    <n v="2010"/>
    <s v="Førskole"/>
    <n v="11700"/>
    <s v="Transportutgifter"/>
    <n v="8161.697598144"/>
    <x v="1"/>
  </r>
  <r>
    <s v="276"/>
    <s v="Fj barnehage"/>
    <n v="2010"/>
    <s v="Førskole"/>
    <n v="11900"/>
    <s v="Husleie"/>
    <n v="226.05073999999999"/>
    <x v="1"/>
  </r>
  <r>
    <s v="276"/>
    <s v="Fj barnehage"/>
    <n v="2010"/>
    <s v="Førskole"/>
    <n v="11980"/>
    <s v="Lisenser"/>
    <n v="4747.0655400000005"/>
    <x v="1"/>
  </r>
  <r>
    <s v="276"/>
    <s v="Fj barnehage"/>
    <n v="2010"/>
    <s v="Førskole"/>
    <n v="12000"/>
    <s v="Kjøp og finansiell leie av driftsmidler"/>
    <n v="18878.085029324"/>
    <x v="1"/>
  </r>
  <r>
    <s v="276"/>
    <s v="Fj barnehage"/>
    <n v="2010"/>
    <s v="Førskole"/>
    <n v="12200"/>
    <s v="Maskiner, større utstyr"/>
    <n v="6032.1639968999998"/>
    <x v="1"/>
  </r>
  <r>
    <s v="276"/>
    <s v="Fj barnehage"/>
    <n v="2010"/>
    <s v="Førskole"/>
    <n v="12700"/>
    <s v="Konsulenttjenester"/>
    <n v="3526.3915439999996"/>
    <x v="1"/>
  </r>
  <r>
    <s v="276"/>
    <s v="Fj barnehage"/>
    <n v="2010"/>
    <s v="Førskole"/>
    <n v="14290"/>
    <s v="Momskomp.utgift, drift"/>
    <n v="41246.122223360006"/>
    <x v="2"/>
  </r>
  <r>
    <s v="276"/>
    <s v="Fj barnehage"/>
    <n v="2010"/>
    <s v="Førskole"/>
    <n v="16000"/>
    <s v="Foreldrebetaling"/>
    <n v="-833119.04429959995"/>
    <x v="10"/>
  </r>
  <r>
    <s v="276"/>
    <s v="Fj barnehage"/>
    <n v="2010"/>
    <s v="Førskole"/>
    <n v="16110"/>
    <s v="Kosthold avg.fri"/>
    <n v="-83755.189931099987"/>
    <x v="11"/>
  </r>
  <r>
    <s v="276"/>
    <s v="Fj barnehage"/>
    <n v="2010"/>
    <s v="Førskole"/>
    <n v="16203"/>
    <s v="Kaffetrekk"/>
    <n v="-13929.2465988"/>
    <x v="11"/>
  </r>
  <r>
    <s v="276"/>
    <s v="Fj barnehage"/>
    <n v="2010"/>
    <s v="Førskole"/>
    <n v="17000"/>
    <s v="Refusjoner fra staten"/>
    <n v="-6251.4332147000005"/>
    <x v="12"/>
  </r>
  <r>
    <s v="276"/>
    <s v="Fj barnehage"/>
    <n v="2010"/>
    <s v="Førskole"/>
    <n v="17100"/>
    <s v="Sykelønnsrefusjon"/>
    <n v="-136926.969321807"/>
    <x v="13"/>
  </r>
  <r>
    <s v="276"/>
    <s v="Fj barnehage"/>
    <n v="2010"/>
    <s v="Førskole"/>
    <n v="17110"/>
    <s v="Ref.feriep. av sykep."/>
    <n v="-9463.5125072669998"/>
    <x v="13"/>
  </r>
  <r>
    <s v="276"/>
    <s v="Fj barnehage"/>
    <n v="2010"/>
    <s v="Førskole"/>
    <n v="17290"/>
    <s v="Momskomp.innt, drift"/>
    <n v="-41246.122223360006"/>
    <x v="3"/>
  </r>
  <r>
    <s v="276"/>
    <s v="Fj barnehage"/>
    <n v="2010"/>
    <s v="Førskole"/>
    <n v="18900"/>
    <s v="Overføringer fra andre (private)"/>
    <n v="-31081.976750000002"/>
    <x v="15"/>
  </r>
  <r>
    <s v="277"/>
    <s v="Se barnehage"/>
    <n v="2010"/>
    <s v="Førskole"/>
    <n v="10100"/>
    <s v="Fast lønn"/>
    <n v="4915101.1261515161"/>
    <x v="4"/>
  </r>
  <r>
    <s v="277"/>
    <s v="Se barnehage"/>
    <n v="2010"/>
    <s v="Førskole"/>
    <n v="10200"/>
    <s v="Vikarer"/>
    <n v="85376.018947047996"/>
    <x v="4"/>
  </r>
  <r>
    <s v="277"/>
    <s v="Se barnehage"/>
    <n v="2010"/>
    <s v="Førskole"/>
    <n v="10210"/>
    <s v="Vikarer m/refusjon"/>
    <n v="492917.85716154595"/>
    <x v="4"/>
  </r>
  <r>
    <s v="277"/>
    <s v="Se barnehage"/>
    <n v="2010"/>
    <s v="Førskole"/>
    <n v="10400"/>
    <s v="Overtid"/>
    <n v="30969.674742367999"/>
    <x v="4"/>
  </r>
  <r>
    <s v="277"/>
    <s v="Se barnehage"/>
    <n v="2010"/>
    <s v="Førskole"/>
    <n v="10910"/>
    <s v="Pensjonspremie KLP"/>
    <n v="719436.69173140102"/>
    <x v="5"/>
  </r>
  <r>
    <s v="277"/>
    <s v="Se barnehage"/>
    <n v="2010"/>
    <s v="Førskole"/>
    <n v="10990"/>
    <s v="Arbeidsgiveravgift"/>
    <n v="754287.95154553105"/>
    <x v="6"/>
  </r>
  <r>
    <s v="277"/>
    <s v="Se barnehage"/>
    <n v="2010"/>
    <s v="Førskole"/>
    <n v="11000"/>
    <s v="Kontormateriell"/>
    <n v="8727.0618014209995"/>
    <x v="1"/>
  </r>
  <r>
    <s v="277"/>
    <s v="Se barnehage"/>
    <n v="2010"/>
    <s v="Førskole"/>
    <n v="11020"/>
    <s v="Abonnement/faglitteratur"/>
    <n v="9158.8413198950002"/>
    <x v="1"/>
  </r>
  <r>
    <s v="277"/>
    <s v="Se barnehage"/>
    <n v="2010"/>
    <s v="Førskole"/>
    <n v="11050"/>
    <s v="Læremidler"/>
    <n v="104.54846725"/>
    <x v="1"/>
  </r>
  <r>
    <s v="277"/>
    <s v="Se barnehage"/>
    <n v="2010"/>
    <s v="Førskole"/>
    <n v="11070"/>
    <s v="Leker/sysselsettingsutstyr"/>
    <n v="43319.425703028995"/>
    <x v="1"/>
  </r>
  <r>
    <s v="277"/>
    <s v="Se barnehage"/>
    <n v="2010"/>
    <s v="Førskole"/>
    <n v="11100"/>
    <s v="Medisinsk forbruksmateriell"/>
    <n v="333.98996835000003"/>
    <x v="1"/>
  </r>
  <r>
    <s v="277"/>
    <s v="Se barnehage"/>
    <n v="2010"/>
    <s v="Førskole"/>
    <n v="11150"/>
    <s v="Matvarer"/>
    <n v="229592.48038924599"/>
    <x v="1"/>
  </r>
  <r>
    <s v="277"/>
    <s v="Se barnehage"/>
    <n v="2010"/>
    <s v="Førskole"/>
    <n v="11151"/>
    <s v="Personalmat"/>
    <n v="8409.6300497760003"/>
    <x v="1"/>
  </r>
  <r>
    <s v="277"/>
    <s v="Se barnehage"/>
    <n v="2010"/>
    <s v="Førskole"/>
    <n v="11200"/>
    <s v="Div. driftsutgifter"/>
    <n v="49479.726561897995"/>
    <x v="1"/>
  </r>
  <r>
    <s v="277"/>
    <s v="Se barnehage"/>
    <n v="2010"/>
    <s v="Førskole"/>
    <n v="11210"/>
    <s v="Velferdstiltak, ansatte"/>
    <n v="5483.1432621249996"/>
    <x v="1"/>
  </r>
  <r>
    <s v="277"/>
    <s v="Se barnehage"/>
    <n v="2010"/>
    <s v="Førskole"/>
    <n v="11250"/>
    <s v="Rengjøringsmidler"/>
    <n v="7643.5779995270004"/>
    <x v="1"/>
  </r>
  <r>
    <s v="277"/>
    <s v="Se barnehage"/>
    <n v="2010"/>
    <s v="Førskole"/>
    <n v="11300"/>
    <s v="Telefonutgifter"/>
    <n v="6947.1834848089993"/>
    <x v="1"/>
  </r>
  <r>
    <s v="277"/>
    <s v="Se barnehage"/>
    <n v="2010"/>
    <s v="Førskole"/>
    <n v="11301"/>
    <s v="Oppg.pl. mobiltlf, interim"/>
    <n v="3483.7809795100002"/>
    <x v="1"/>
  </r>
  <r>
    <s v="277"/>
    <s v="Se barnehage"/>
    <n v="2010"/>
    <s v="Førskole"/>
    <n v="11500"/>
    <s v="Kursutgifter"/>
    <n v="19027.142887280002"/>
    <x v="1"/>
  </r>
  <r>
    <s v="277"/>
    <s v="Se barnehage"/>
    <n v="2010"/>
    <s v="Førskole"/>
    <n v="11600"/>
    <s v="Reiseutgifter, oppg. pl."/>
    <n v="0"/>
    <x v="1"/>
  </r>
  <r>
    <s v="277"/>
    <s v="Se barnehage"/>
    <n v="2010"/>
    <s v="Førskole"/>
    <n v="11650"/>
    <s v="Andre oppgavepliktige godtgjørelser"/>
    <n v="25755.430138010001"/>
    <x v="1"/>
  </r>
  <r>
    <s v="277"/>
    <s v="Se barnehage"/>
    <n v="2010"/>
    <s v="Førskole"/>
    <n v="11651"/>
    <s v="Oppg.pl. telefoni"/>
    <n v="5945.2700924439996"/>
    <x v="1"/>
  </r>
  <r>
    <s v="277"/>
    <s v="Se barnehage"/>
    <n v="2010"/>
    <s v="Førskole"/>
    <n v="11700"/>
    <s v="Transportutgifter"/>
    <n v="0"/>
    <x v="1"/>
  </r>
  <r>
    <s v="277"/>
    <s v="Se barnehage"/>
    <n v="2010"/>
    <s v="Førskole"/>
    <n v="11720"/>
    <s v="Reiseutg., ikke oppg.pl."/>
    <n v="3938.2559922799996"/>
    <x v="1"/>
  </r>
  <r>
    <s v="277"/>
    <s v="Se barnehage"/>
    <n v="2010"/>
    <s v="Førskole"/>
    <n v="11960"/>
    <s v="Komm.avgifter"/>
    <n v="13077.035309000001"/>
    <x v="1"/>
  </r>
  <r>
    <s v="277"/>
    <s v="Se barnehage"/>
    <n v="2010"/>
    <s v="Førskole"/>
    <n v="11980"/>
    <s v="Lisenser"/>
    <n v="6984.9678660000009"/>
    <x v="1"/>
  </r>
  <r>
    <s v="277"/>
    <s v="Se barnehage"/>
    <n v="2010"/>
    <s v="Førskole"/>
    <n v="11990"/>
    <s v="Gebyr"/>
    <n v="56.512684999999998"/>
    <x v="1"/>
  </r>
  <r>
    <s v="277"/>
    <s v="Se barnehage"/>
    <n v="2010"/>
    <s v="Førskole"/>
    <n v="12000"/>
    <s v="Kjøp og finansiell leie av driftsmidler"/>
    <n v="10119.624780116999"/>
    <x v="1"/>
  </r>
  <r>
    <s v="277"/>
    <s v="Se barnehage"/>
    <n v="2010"/>
    <s v="Førskole"/>
    <n v="12400"/>
    <s v="Service- /driftsavtaler og reparasjoner"/>
    <n v="10170.926995559999"/>
    <x v="1"/>
  </r>
  <r>
    <s v="277"/>
    <s v="Se barnehage"/>
    <n v="2010"/>
    <s v="Førskole"/>
    <n v="12700"/>
    <s v="Konsulenttjenester"/>
    <n v="420539.37147824006"/>
    <x v="1"/>
  </r>
  <r>
    <s v="277"/>
    <s v="Se barnehage"/>
    <n v="2010"/>
    <s v="Førskole"/>
    <n v="14290"/>
    <s v="Momskomp.utgift, drift"/>
    <n v="69040.982137650004"/>
    <x v="2"/>
  </r>
  <r>
    <s v="277"/>
    <s v="Se barnehage"/>
    <n v="2010"/>
    <s v="Førskole"/>
    <n v="16000"/>
    <s v="Foreldrebetaling"/>
    <n v="-1258107.9985440001"/>
    <x v="10"/>
  </r>
  <r>
    <s v="277"/>
    <s v="Se barnehage"/>
    <n v="2010"/>
    <s v="Førskole"/>
    <n v="16110"/>
    <s v="Kosthold avg.fri"/>
    <n v="-122771.5476551"/>
    <x v="11"/>
  </r>
  <r>
    <s v="277"/>
    <s v="Se barnehage"/>
    <n v="2010"/>
    <s v="Førskole"/>
    <n v="16203"/>
    <s v="Kaffetrekk"/>
    <n v="-21659.130770858996"/>
    <x v="11"/>
  </r>
  <r>
    <s v="277"/>
    <s v="Se barnehage"/>
    <n v="2010"/>
    <s v="Førskole"/>
    <n v="17100"/>
    <s v="Sykelønnsrefusjon"/>
    <n v="-787279.3449887"/>
    <x v="13"/>
  </r>
  <r>
    <s v="277"/>
    <s v="Se barnehage"/>
    <n v="2010"/>
    <s v="Førskole"/>
    <n v="17110"/>
    <s v="Ref.feriep. av sykep."/>
    <n v="-39982.193418260998"/>
    <x v="13"/>
  </r>
  <r>
    <s v="277"/>
    <s v="Se barnehage"/>
    <n v="2010"/>
    <s v="Førskole"/>
    <n v="17290"/>
    <s v="Momskomp.innt, drift"/>
    <n v="-69019.258661536005"/>
    <x v="3"/>
  </r>
  <r>
    <s v="279"/>
    <s v="Sa barnehage"/>
    <n v="2010"/>
    <s v="Førskole"/>
    <n v="10100"/>
    <s v="Fast lønn"/>
    <n v="6094298.914182446"/>
    <x v="4"/>
  </r>
  <r>
    <s v="279"/>
    <s v="Sa barnehage"/>
    <n v="2010"/>
    <s v="Førskole"/>
    <n v="10200"/>
    <s v="Vikarer"/>
    <n v="24230.898737301999"/>
    <x v="4"/>
  </r>
  <r>
    <s v="279"/>
    <s v="Sa barnehage"/>
    <n v="2010"/>
    <s v="Førskole"/>
    <n v="10210"/>
    <s v="Vikarer m/refusjon"/>
    <n v="601569.48441865598"/>
    <x v="4"/>
  </r>
  <r>
    <s v="279"/>
    <s v="Sa barnehage"/>
    <n v="2010"/>
    <s v="Førskole"/>
    <n v="10400"/>
    <s v="Overtid"/>
    <n v="35989.086213919996"/>
    <x v="4"/>
  </r>
  <r>
    <s v="279"/>
    <s v="Sa barnehage"/>
    <n v="2010"/>
    <s v="Førskole"/>
    <n v="10910"/>
    <s v="Pensjonspremie KLP"/>
    <n v="873643.14915686299"/>
    <x v="5"/>
  </r>
  <r>
    <s v="279"/>
    <s v="Sa barnehage"/>
    <n v="2010"/>
    <s v="Førskole"/>
    <n v="10990"/>
    <s v="Arbeidsgiveravgift"/>
    <n v="954471.64885464602"/>
    <x v="6"/>
  </r>
  <r>
    <s v="279"/>
    <s v="Sa barnehage"/>
    <n v="2010"/>
    <s v="Førskole"/>
    <n v="11000"/>
    <s v="Kontormateriell"/>
    <n v="12581.599902141999"/>
    <x v="1"/>
  </r>
  <r>
    <s v="279"/>
    <s v="Sa barnehage"/>
    <n v="2010"/>
    <s v="Førskole"/>
    <n v="11010"/>
    <s v="Kopiering"/>
    <n v="8101.6585216000003"/>
    <x v="1"/>
  </r>
  <r>
    <s v="279"/>
    <s v="Sa barnehage"/>
    <n v="2010"/>
    <s v="Førskole"/>
    <n v="11020"/>
    <s v="Abonnement/faglitteratur"/>
    <n v="19125.701009919994"/>
    <x v="1"/>
  </r>
  <r>
    <s v="279"/>
    <s v="Sa barnehage"/>
    <n v="2010"/>
    <s v="Førskole"/>
    <n v="11063"/>
    <s v="Pedagogisk IT-programvare/drift"/>
    <n v="4747.0655400000005"/>
    <x v="1"/>
  </r>
  <r>
    <s v="279"/>
    <s v="Sa barnehage"/>
    <n v="2010"/>
    <s v="Førskole"/>
    <n v="11070"/>
    <s v="Leker/sysselsettingsutstyr"/>
    <n v="38642.526312725"/>
    <x v="1"/>
  </r>
  <r>
    <s v="279"/>
    <s v="Sa barnehage"/>
    <n v="2010"/>
    <s v="Førskole"/>
    <n v="11100"/>
    <s v="Medisinsk forbruksmateriell"/>
    <n v="1624.5814582319997"/>
    <x v="1"/>
  </r>
  <r>
    <s v="279"/>
    <s v="Sa barnehage"/>
    <n v="2010"/>
    <s v="Førskole"/>
    <n v="11150"/>
    <s v="Matvarer"/>
    <n v="313952.005671199"/>
    <x v="1"/>
  </r>
  <r>
    <s v="279"/>
    <s v="Sa barnehage"/>
    <n v="2010"/>
    <s v="Førskole"/>
    <n v="11151"/>
    <s v="Personalmat"/>
    <n v="214.74820300000002"/>
    <x v="1"/>
  </r>
  <r>
    <s v="279"/>
    <s v="Sa barnehage"/>
    <n v="2010"/>
    <s v="Førskole"/>
    <n v="11200"/>
    <s v="Div. driftsutgifter"/>
    <n v="16692.762105448004"/>
    <x v="1"/>
  </r>
  <r>
    <s v="279"/>
    <s v="Sa barnehage"/>
    <n v="2010"/>
    <s v="Førskole"/>
    <n v="11210"/>
    <s v="Velferdstiltak, ansatte"/>
    <n v="0"/>
    <x v="1"/>
  </r>
  <r>
    <s v="279"/>
    <s v="Sa barnehage"/>
    <n v="2010"/>
    <s v="Førskole"/>
    <n v="11250"/>
    <s v="Rengjøringsmidler"/>
    <n v="16379.919183824999"/>
    <x v="1"/>
  </r>
  <r>
    <s v="279"/>
    <s v="Sa barnehage"/>
    <n v="2010"/>
    <s v="Førskole"/>
    <n v="11300"/>
    <s v="Telefonutgifter"/>
    <n v="9599.1994639519999"/>
    <x v="1"/>
  </r>
  <r>
    <s v="279"/>
    <s v="Sa barnehage"/>
    <n v="2010"/>
    <s v="Førskole"/>
    <n v="11301"/>
    <s v="Oppg.pl. mobiltlf, interim"/>
    <n v="-4520.9808923890005"/>
    <x v="1"/>
  </r>
  <r>
    <s v="279"/>
    <s v="Sa barnehage"/>
    <n v="2010"/>
    <s v="Førskole"/>
    <n v="11310"/>
    <s v="Porto"/>
    <n v="210.67928967999998"/>
    <x v="1"/>
  </r>
  <r>
    <s v="279"/>
    <s v="Sa barnehage"/>
    <n v="2010"/>
    <s v="Førskole"/>
    <n v="11500"/>
    <s v="Kursutgifter"/>
    <n v="2712.6088799999998"/>
    <x v="1"/>
  </r>
  <r>
    <s v="279"/>
    <s v="Sa barnehage"/>
    <n v="2010"/>
    <s v="Førskole"/>
    <n v="11600"/>
    <s v="Reiseutgifter, oppg. pl."/>
    <n v="922.45655725500001"/>
    <x v="1"/>
  </r>
  <r>
    <s v="279"/>
    <s v="Sa barnehage"/>
    <n v="2010"/>
    <s v="Førskole"/>
    <n v="11650"/>
    <s v="Andre oppgavepliktige godtgjørelser"/>
    <n v="29691.109151853994"/>
    <x v="1"/>
  </r>
  <r>
    <s v="279"/>
    <s v="Sa barnehage"/>
    <n v="2010"/>
    <s v="Førskole"/>
    <n v="11651"/>
    <s v="Oppg.pl. telefoni"/>
    <n v="5158.4439791890009"/>
    <x v="1"/>
  </r>
  <r>
    <s v="279"/>
    <s v="Sa barnehage"/>
    <n v="2010"/>
    <s v="Førskole"/>
    <n v="11700"/>
    <s v="Transportutgifter"/>
    <n v="8144.6081622000011"/>
    <x v="1"/>
  </r>
  <r>
    <s v="279"/>
    <s v="Sa barnehage"/>
    <n v="2010"/>
    <s v="Førskole"/>
    <n v="11980"/>
    <s v="Lisenser"/>
    <n v="2592.8019878000005"/>
    <x v="1"/>
  </r>
  <r>
    <s v="279"/>
    <s v="Sa barnehage"/>
    <n v="2010"/>
    <s v="Førskole"/>
    <n v="11990"/>
    <s v="Gebyr"/>
    <n v="623.90004239999996"/>
    <x v="1"/>
  </r>
  <r>
    <s v="279"/>
    <s v="Sa barnehage"/>
    <n v="2010"/>
    <s v="Førskole"/>
    <n v="12000"/>
    <s v="Kjøp og finansiell leie av driftsmidler"/>
    <n v="83077.354182136012"/>
    <x v="1"/>
  </r>
  <r>
    <s v="279"/>
    <s v="Sa barnehage"/>
    <n v="2010"/>
    <s v="Førskole"/>
    <n v="12400"/>
    <s v="Service- /driftsavtaler og reparasjoner"/>
    <n v="3232.5255819999998"/>
    <x v="1"/>
  </r>
  <r>
    <s v="279"/>
    <s v="Sa barnehage"/>
    <n v="2010"/>
    <s v="Førskole"/>
    <n v="12700"/>
    <s v="Konsulenttjenester"/>
    <n v="76364.008885320014"/>
    <x v="1"/>
  </r>
  <r>
    <s v="279"/>
    <s v="Sa barnehage"/>
    <n v="2010"/>
    <s v="Førskole"/>
    <n v="14290"/>
    <s v="Momskomp.utgift, drift"/>
    <n v="92940.196624150005"/>
    <x v="2"/>
  </r>
  <r>
    <s v="279"/>
    <s v="Sa barnehage"/>
    <n v="2010"/>
    <s v="Førskole"/>
    <n v="16000"/>
    <s v="Foreldrebetaling"/>
    <n v="-1571223.3113087001"/>
    <x v="10"/>
  </r>
  <r>
    <s v="279"/>
    <s v="Sa barnehage"/>
    <n v="2010"/>
    <s v="Førskole"/>
    <n v="16110"/>
    <s v="Kosthold avg.fri"/>
    <n v="-152106.15218489998"/>
    <x v="11"/>
  </r>
  <r>
    <s v="279"/>
    <s v="Sa barnehage"/>
    <n v="2010"/>
    <s v="Førskole"/>
    <n v="16203"/>
    <s v="Kaffetrekk"/>
    <n v="-28914.918725916003"/>
    <x v="11"/>
  </r>
  <r>
    <s v="279"/>
    <s v="Sa barnehage"/>
    <n v="2010"/>
    <s v="Førskole"/>
    <n v="17100"/>
    <s v="Sykelønnsrefusjon"/>
    <n v="-867695.7654899999"/>
    <x v="13"/>
  </r>
  <r>
    <s v="279"/>
    <s v="Sa barnehage"/>
    <n v="2010"/>
    <s v="Førskole"/>
    <n v="17110"/>
    <s v="Ref.feriep. av sykep."/>
    <n v="-46884.641461623993"/>
    <x v="13"/>
  </r>
  <r>
    <s v="279"/>
    <s v="Sa barnehage"/>
    <n v="2010"/>
    <s v="Førskole"/>
    <n v="17290"/>
    <s v="Momskomp.innt, drift"/>
    <n v="-92940.196624150005"/>
    <x v="3"/>
  </r>
  <r>
    <s v="361"/>
    <s v="Barn og familie, felles"/>
    <n v="2010"/>
    <s v="Førskole"/>
    <n v="10100"/>
    <s v="Fast lønn"/>
    <n v="1085932.6886781792"/>
    <x v="4"/>
  </r>
  <r>
    <s v="361"/>
    <s v="Barn og familie, felles"/>
    <n v="2010"/>
    <s v="Førskole"/>
    <n v="10200"/>
    <s v="Vikarer"/>
    <n v="0"/>
    <x v="4"/>
  </r>
  <r>
    <s v="361"/>
    <s v="Barn og familie, felles"/>
    <n v="2010"/>
    <s v="Førskole"/>
    <n v="10210"/>
    <s v="Vikarer m/refusjon"/>
    <n v="150242.657699562"/>
    <x v="4"/>
  </r>
  <r>
    <s v="361"/>
    <s v="Barn og familie, felles"/>
    <n v="2010"/>
    <s v="Førskole"/>
    <n v="10300"/>
    <s v="Ekstrahjelp"/>
    <n v="6257.231416181"/>
    <x v="4"/>
  </r>
  <r>
    <s v="361"/>
    <s v="Barn og familie, felles"/>
    <n v="2010"/>
    <s v="Førskole"/>
    <n v="10500"/>
    <s v="Annen lønn og trekkpliktige godtgjørelser"/>
    <n v="16953.805500000002"/>
    <x v="4"/>
  </r>
  <r>
    <s v="361"/>
    <s v="Barn og familie, felles"/>
    <n v="2010"/>
    <s v="Førskole"/>
    <n v="10910"/>
    <s v="Pensjonspremie KLP"/>
    <n v="185850.44152525"/>
    <x v="5"/>
  </r>
  <r>
    <s v="361"/>
    <s v="Barn og familie, felles"/>
    <n v="2010"/>
    <s v="Førskole"/>
    <n v="10990"/>
    <s v="Arbeidsgiveravgift"/>
    <n v="192462.42567025"/>
    <x v="6"/>
  </r>
  <r>
    <s v="361"/>
    <s v="Barn og familie, felles"/>
    <n v="2010"/>
    <s v="Førskole"/>
    <n v="11020"/>
    <s v="Abonnement/faglitteratur"/>
    <n v="901.94245260000014"/>
    <x v="8"/>
  </r>
  <r>
    <s v="361"/>
    <s v="Barn og familie, felles"/>
    <n v="2010"/>
    <s v="Førskole"/>
    <n v="11150"/>
    <s v="Matvarer"/>
    <n v="421.41509204500005"/>
    <x v="8"/>
  </r>
  <r>
    <s v="361"/>
    <s v="Barn og familie, felles"/>
    <n v="2010"/>
    <s v="Førskole"/>
    <n v="11151"/>
    <s v="Personalmat"/>
    <n v="26898.907806299998"/>
    <x v="8"/>
  </r>
  <r>
    <s v="361"/>
    <s v="Barn og familie, felles"/>
    <n v="2010"/>
    <s v="Førskole"/>
    <n v="11200"/>
    <s v="Div. driftsutgifter"/>
    <n v="1162.7937040229999"/>
    <x v="8"/>
  </r>
  <r>
    <s v="361"/>
    <s v="Barn og familie, felles"/>
    <n v="2010"/>
    <s v="Førskole"/>
    <n v="11210"/>
    <s v="Velferdstiltak, ansatte"/>
    <n v="8893.9663653000007"/>
    <x v="8"/>
  </r>
  <r>
    <s v="361"/>
    <s v="Barn og familie, felles"/>
    <n v="2010"/>
    <s v="Førskole"/>
    <n v="11300"/>
    <s v="Telefonutgifter"/>
    <n v="1504.81977618"/>
    <x v="8"/>
  </r>
  <r>
    <s v="361"/>
    <s v="Barn og familie, felles"/>
    <n v="2010"/>
    <s v="Førskole"/>
    <n v="11301"/>
    <s v="Oppg.pl. mobiltlf, interim"/>
    <n v="-9041.9165746300005"/>
    <x v="8"/>
  </r>
  <r>
    <s v="361"/>
    <s v="Barn og familie, felles"/>
    <n v="2010"/>
    <s v="Førskole"/>
    <n v="11400"/>
    <s v="Annonser"/>
    <n v="16316.794514679998"/>
    <x v="8"/>
  </r>
  <r>
    <s v="361"/>
    <s v="Barn og familie, felles"/>
    <n v="2010"/>
    <s v="Førskole"/>
    <n v="11500"/>
    <s v="Kursutgifter"/>
    <n v="58195.463221244994"/>
    <x v="8"/>
  </r>
  <r>
    <s v="361"/>
    <s v="Barn og familie, felles"/>
    <n v="2010"/>
    <s v="Førskole"/>
    <n v="11600"/>
    <s v="Reiseutgifter, oppg. pl."/>
    <n v="3914.2946138399998"/>
    <x v="8"/>
  </r>
  <r>
    <s v="361"/>
    <s v="Barn og familie, felles"/>
    <n v="2010"/>
    <s v="Førskole"/>
    <n v="11650"/>
    <s v="Andre oppgavepliktige godtgjørelser"/>
    <n v="2899.7562876460001"/>
    <x v="8"/>
  </r>
  <r>
    <s v="361"/>
    <s v="Barn og familie, felles"/>
    <n v="2010"/>
    <s v="Førskole"/>
    <n v="11651"/>
    <s v="Oppg.pl. telefoni"/>
    <n v="10316.842748229999"/>
    <x v="8"/>
  </r>
  <r>
    <s v="361"/>
    <s v="Barn og familie, felles"/>
    <n v="2010"/>
    <s v="Førskole"/>
    <n v="11720"/>
    <s v="Reiseutg., ikke oppg.pl."/>
    <n v="2858.4116072999996"/>
    <x v="8"/>
  </r>
  <r>
    <s v="361"/>
    <s v="Barn og familie, felles"/>
    <n v="2010"/>
    <s v="Førskole"/>
    <n v="11980"/>
    <s v="Lisenser"/>
    <n v="4747.0655400000005"/>
    <x v="8"/>
  </r>
  <r>
    <s v="361"/>
    <s v="Barn og familie, felles"/>
    <n v="2010"/>
    <s v="Førskole"/>
    <n v="12000"/>
    <s v="Kjøp og finansiell leie av driftsmidler"/>
    <n v="12305.072031899999"/>
    <x v="8"/>
  </r>
  <r>
    <s v="361"/>
    <s v="Barn og familie, felles"/>
    <n v="2010"/>
    <s v="Førskole"/>
    <n v="13500"/>
    <s v="Kjøp fra kommuner"/>
    <n v="1424425.9607527002"/>
    <x v="8"/>
  </r>
  <r>
    <s v="361"/>
    <s v="Barn og familie, felles"/>
    <n v="2010"/>
    <s v="Førskole"/>
    <n v="14290"/>
    <s v="Momskomp.utgift, drift"/>
    <n v="15488.262039894998"/>
    <x v="8"/>
  </r>
  <r>
    <s v="361"/>
    <s v="Barn og familie, felles"/>
    <n v="2010"/>
    <s v="Førskole"/>
    <n v="15400"/>
    <s v="Avsetninger til disponible fond"/>
    <n v="2213036.7446000003"/>
    <x v="8"/>
  </r>
  <r>
    <s v="361"/>
    <s v="Barn og familie, felles"/>
    <n v="2010"/>
    <s v="Førskole"/>
    <n v="15500"/>
    <s v="Avsetn.til b.fond -drift"/>
    <n v="181675.84948429998"/>
    <x v="8"/>
  </r>
  <r>
    <s v="361"/>
    <s v="Barn og familie, felles"/>
    <n v="2010"/>
    <s v="Førskole"/>
    <n v="16000"/>
    <s v="Foreldrebetaling"/>
    <n v="469055.2855"/>
    <x v="8"/>
  </r>
  <r>
    <s v="361"/>
    <s v="Barn og familie, felles"/>
    <n v="2010"/>
    <s v="Førskole"/>
    <n v="17100"/>
    <s v="Sykelønnsrefusjon"/>
    <n v="-94434.957142399988"/>
    <x v="8"/>
  </r>
  <r>
    <s v="361"/>
    <s v="Barn og familie, felles"/>
    <n v="2010"/>
    <s v="Førskole"/>
    <n v="17110"/>
    <s v="Ref.feriep. av sykep."/>
    <n v="-7747.1996587430012"/>
    <x v="8"/>
  </r>
  <r>
    <s v="361"/>
    <s v="Barn og familie, felles"/>
    <n v="2010"/>
    <s v="Førskole"/>
    <n v="17290"/>
    <s v="Momskomp.innt, drift"/>
    <n v="-15488.262039894998"/>
    <x v="8"/>
  </r>
  <r>
    <s v="361"/>
    <s v="Barn og familie, felles"/>
    <n v="2010"/>
    <s v="Førskole"/>
    <n v="17500"/>
    <s v="Refusjoner fra kommuner"/>
    <n v="-1213701.4609247001"/>
    <x v="8"/>
  </r>
  <r>
    <s v="361"/>
    <s v="Barn og familie, felles"/>
    <n v="2010"/>
    <s v="Førskole"/>
    <n v="18300"/>
    <s v="Overføring fra fylket"/>
    <n v="-181675.84948429998"/>
    <x v="8"/>
  </r>
  <r>
    <s v="900"/>
    <s v="Finansieringstransaksjoner"/>
    <n v="2010"/>
    <s v="Førskole"/>
    <n v="15900"/>
    <s v="Avskrivninger"/>
    <n v="79173.141431299999"/>
    <x v="16"/>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r>
    <m/>
    <m/>
    <m/>
    <m/>
    <m/>
    <m/>
    <m/>
    <x v="17"/>
  </r>
</pivotCacheRecords>
</file>

<file path=xl/pivotCache/pivotCacheRecords2.xml><?xml version="1.0" encoding="utf-8"?>
<pivotCacheRecords xmlns="http://schemas.openxmlformats.org/spreadsheetml/2006/main" xmlns:r="http://schemas.openxmlformats.org/officeDocument/2006/relationships" count="89">
  <r>
    <n v="121"/>
    <s v="Forsikringer"/>
    <n v="2210"/>
    <s v="Førskolelokaler og skyss"/>
    <n v="10930"/>
    <s v="Tariffpliktig gruppeliv/ulykke"/>
    <n v="3399.42"/>
    <x v="0"/>
  </r>
  <r>
    <n v="121"/>
    <s v="Forsikringer"/>
    <n v="2210"/>
    <s v="Førskolelokaler og skyss"/>
    <n v="11860"/>
    <s v="Personforsikringer"/>
    <n v="3399.42"/>
    <x v="0"/>
  </r>
  <r>
    <n v="270"/>
    <s v="Vi barnehage"/>
    <n v="2210"/>
    <s v="Førskolelokaler og skyss"/>
    <n v="11800"/>
    <s v="Energi"/>
    <n v="108149.62379879999"/>
    <x v="0"/>
  </r>
  <r>
    <n v="270"/>
    <s v="Vi barnehage"/>
    <n v="2210"/>
    <s v="Førskolelokaler og skyss"/>
    <n v="11870"/>
    <s v="Utgifter, tilsyn"/>
    <n v="962.03585999999996"/>
    <x v="0"/>
  </r>
  <r>
    <n v="270"/>
    <s v="Vi barnehage"/>
    <n v="2210"/>
    <s v="Førskolelokaler og skyss"/>
    <n v="11960"/>
    <s v="Komm.avgifter"/>
    <n v="1382.4307999999999"/>
    <x v="0"/>
  </r>
  <r>
    <n v="270"/>
    <s v="Vi barnehage"/>
    <n v="2210"/>
    <s v="Førskolelokaler og skyss"/>
    <n v="12400"/>
    <s v="Service- /driftsavtaler og reparasjoner"/>
    <n v="13824.307999999999"/>
    <x v="0"/>
  </r>
  <r>
    <n v="270"/>
    <s v="Vi barnehage"/>
    <n v="2210"/>
    <s v="Førskolelokaler og skyss"/>
    <n v="13700"/>
    <s v="Kjøp fra andre (private)"/>
    <n v="34950.2188866"/>
    <x v="0"/>
  </r>
  <r>
    <n v="270"/>
    <s v="Vi barnehage"/>
    <n v="2210"/>
    <s v="Førskolelokaler og skyss"/>
    <n v="14290"/>
    <s v="Momskomp.utgift, drift"/>
    <n v="39817.236488999995"/>
    <x v="1"/>
  </r>
  <r>
    <n v="270"/>
    <s v="Vi barnehage"/>
    <n v="2210"/>
    <s v="Førskolelokaler og skyss"/>
    <n v="17290"/>
    <s v="Momskomp.innt, drift"/>
    <n v="-39817.236488999995"/>
    <x v="2"/>
  </r>
  <r>
    <n v="272"/>
    <s v="Gr barnehage"/>
    <n v="2210"/>
    <s v="Førskolelokaler og skyss"/>
    <n v="11800"/>
    <s v="Energi"/>
    <n v="72254.728757000004"/>
    <x v="0"/>
  </r>
  <r>
    <n v="272"/>
    <s v="Gr barnehage"/>
    <n v="2210"/>
    <s v="Førskolelokaler og skyss"/>
    <n v="11960"/>
    <s v="Komm.avgifter"/>
    <n v="0"/>
    <x v="0"/>
  </r>
  <r>
    <n v="272"/>
    <s v="Gr barnehage"/>
    <n v="2210"/>
    <s v="Førskolelokaler og skyss"/>
    <n v="13700"/>
    <s v="Kjøp fra andre (private)"/>
    <n v="17491.670284399996"/>
    <x v="0"/>
  </r>
  <r>
    <n v="272"/>
    <s v="Gr barnehage"/>
    <n v="2210"/>
    <s v="Førskolelokaler og skyss"/>
    <n v="14290"/>
    <s v="Momskomp.utgift, drift"/>
    <n v="22436.6365874"/>
    <x v="1"/>
  </r>
  <r>
    <n v="272"/>
    <s v="Gr barnehage"/>
    <n v="2210"/>
    <s v="Førskolelokaler og skyss"/>
    <n v="17290"/>
    <s v="Momskomp.innt, drift"/>
    <n v="-22436.6365874"/>
    <x v="2"/>
  </r>
  <r>
    <n v="273"/>
    <s v="So barnehage"/>
    <n v="2210"/>
    <s v="Førskolelokaler og skyss"/>
    <n v="11800"/>
    <s v="Energi"/>
    <n v="105703.84309139999"/>
    <x v="0"/>
  </r>
  <r>
    <n v="273"/>
    <s v="So barnehage"/>
    <n v="2210"/>
    <s v="Førskolelokaler og skyss"/>
    <n v="11960"/>
    <s v="Komm.avgifter"/>
    <n v="8209.7692709999992"/>
    <x v="0"/>
  </r>
  <r>
    <n v="273"/>
    <s v="So barnehage"/>
    <n v="2210"/>
    <s v="Førskolelokaler og skyss"/>
    <n v="13700"/>
    <s v="Kjøp fra andre (private)"/>
    <n v="37656.281852000007"/>
    <x v="0"/>
  </r>
  <r>
    <n v="273"/>
    <s v="So barnehage"/>
    <n v="2210"/>
    <s v="Førskolelokaler og skyss"/>
    <n v="14290"/>
    <s v="Momskomp.utgift, drift"/>
    <n v="37892.496216400003"/>
    <x v="1"/>
  </r>
  <r>
    <n v="273"/>
    <s v="So barnehage"/>
    <n v="2210"/>
    <s v="Førskolelokaler og skyss"/>
    <n v="17290"/>
    <s v="Momskomp.innt, drift"/>
    <n v="-37892.496216400003"/>
    <x v="2"/>
  </r>
  <r>
    <n v="274"/>
    <s v="Vio barnehage"/>
    <n v="2210"/>
    <s v="Førskolelokaler og skyss"/>
    <n v="11201"/>
    <s v="Driftsutgifter, bygninger"/>
    <n v="962.03585999999996"/>
    <x v="0"/>
  </r>
  <r>
    <n v="274"/>
    <s v="Vio barnehage"/>
    <n v="2210"/>
    <s v="Førskolelokaler og skyss"/>
    <n v="11800"/>
    <s v="Energi"/>
    <n v="160204.5116656"/>
    <x v="0"/>
  </r>
  <r>
    <n v="274"/>
    <s v="Vio barnehage"/>
    <n v="2210"/>
    <s v="Førskolelokaler og skyss"/>
    <n v="11960"/>
    <s v="Komm.avgifter"/>
    <n v="691.21539999999993"/>
    <x v="0"/>
  </r>
  <r>
    <n v="274"/>
    <s v="Vio barnehage"/>
    <n v="2210"/>
    <s v="Førskolelokaler og skyss"/>
    <n v="13700"/>
    <s v="Kjøp fra andre (private)"/>
    <n v="37912.03155"/>
    <x v="0"/>
  </r>
  <r>
    <n v="274"/>
    <s v="Vio barnehage"/>
    <n v="2210"/>
    <s v="Førskolelokaler og skyss"/>
    <n v="14290"/>
    <s v="Momskomp.utgift, drift"/>
    <n v="49942.476947399999"/>
    <x v="1"/>
  </r>
  <r>
    <n v="274"/>
    <s v="Vio barnehage"/>
    <n v="2210"/>
    <s v="Førskolelokaler og skyss"/>
    <n v="17290"/>
    <s v="Momskomp.innt, drift"/>
    <n v="-49942.476947399999"/>
    <x v="2"/>
  </r>
  <r>
    <n v="276"/>
    <s v="Fj barnehage"/>
    <n v="2210"/>
    <s v="Førskolelokaler og skyss"/>
    <n v="11800"/>
    <s v="Energi"/>
    <n v="74398.312357800009"/>
    <x v="0"/>
  </r>
  <r>
    <n v="276"/>
    <s v="Fj barnehage"/>
    <n v="2210"/>
    <s v="Førskolelokaler og skyss"/>
    <n v="11960"/>
    <s v="Komm.avgifter"/>
    <n v="4657.3753709999992"/>
    <x v="0"/>
  </r>
  <r>
    <n v="276"/>
    <s v="Fj barnehage"/>
    <n v="2210"/>
    <s v="Førskolelokaler og skyss"/>
    <n v="13700"/>
    <s v="Kjøp fra andre (private)"/>
    <n v="15448.834161000001"/>
    <x v="0"/>
  </r>
  <r>
    <n v="276"/>
    <s v="Fj barnehage"/>
    <n v="2210"/>
    <s v="Førskolelokaler og skyss"/>
    <n v="14290"/>
    <s v="Momskomp.utgift, drift"/>
    <n v="23626.150302400001"/>
    <x v="1"/>
  </r>
  <r>
    <n v="276"/>
    <s v="Fj barnehage"/>
    <n v="2210"/>
    <s v="Førskolelokaler og skyss"/>
    <n v="17290"/>
    <s v="Momskomp.innt, drift"/>
    <n v="-23626.150302400001"/>
    <x v="2"/>
  </r>
  <r>
    <n v="277"/>
    <s v="Se barnehage"/>
    <n v="2210"/>
    <s v="Førskolelokaler og skyss"/>
    <n v="11800"/>
    <s v="Energi"/>
    <n v="123408.7703238"/>
    <x v="0"/>
  </r>
  <r>
    <n v="277"/>
    <s v="Se barnehage"/>
    <n v="2210"/>
    <s v="Førskolelokaler og skyss"/>
    <n v="11960"/>
    <s v="Komm.avgifter"/>
    <n v="0"/>
    <x v="0"/>
  </r>
  <r>
    <n v="277"/>
    <s v="Se barnehage"/>
    <n v="2210"/>
    <s v="Førskolelokaler og skyss"/>
    <n v="13700"/>
    <s v="Kjøp fra andre (private)"/>
    <n v="27214.906665000002"/>
    <x v="0"/>
  </r>
  <r>
    <n v="277"/>
    <s v="Se barnehage"/>
    <n v="2210"/>
    <s v="Førskolelokaler og skyss"/>
    <n v="14290"/>
    <s v="Momskomp.utgift, drift"/>
    <n v="37655.941910000001"/>
    <x v="1"/>
  </r>
  <r>
    <n v="277"/>
    <s v="Se barnehage"/>
    <n v="2210"/>
    <s v="Førskolelokaler og skyss"/>
    <n v="17290"/>
    <s v="Momskomp.innt, drift"/>
    <n v="-37655.941910000001"/>
    <x v="2"/>
  </r>
  <r>
    <n v="279"/>
    <s v="Sa barnehage"/>
    <n v="2210"/>
    <s v="Førskolelokaler og skyss"/>
    <n v="11800"/>
    <s v="Energi"/>
    <n v="143095.58207900001"/>
    <x v="0"/>
  </r>
  <r>
    <n v="279"/>
    <s v="Sa barnehage"/>
    <n v="2210"/>
    <s v="Førskolelokaler og skyss"/>
    <n v="11960"/>
    <s v="Komm.avgifter"/>
    <n v="7887.7875399999994"/>
    <x v="0"/>
  </r>
  <r>
    <n v="279"/>
    <s v="Sa barnehage"/>
    <n v="2210"/>
    <s v="Førskolelokaler og skyss"/>
    <n v="13700"/>
    <s v="Kjøp fra andre (private)"/>
    <n v="33757.940309999998"/>
    <x v="0"/>
  </r>
  <r>
    <n v="279"/>
    <s v="Sa barnehage"/>
    <n v="2210"/>
    <s v="Førskolelokaler og skyss"/>
    <n v="14290"/>
    <s v="Momskomp.utgift, drift"/>
    <n v="46185.358643600004"/>
    <x v="1"/>
  </r>
  <r>
    <n v="279"/>
    <s v="Sa barnehage"/>
    <n v="2210"/>
    <s v="Førskolelokaler og skyss"/>
    <n v="17290"/>
    <s v="Momskomp.innt, drift"/>
    <n v="-46185.358643600004"/>
    <x v="2"/>
  </r>
  <r>
    <n v="440"/>
    <s v="Vedlikeholdsavdeling"/>
    <n v="2210"/>
    <s v="Førskolelokaler og skyss"/>
    <n v="10100"/>
    <s v="Fast lønn"/>
    <n v="462157.81186320004"/>
    <x v="3"/>
  </r>
  <r>
    <n v="440"/>
    <s v="Vedlikeholdsavdeling"/>
    <n v="2210"/>
    <s v="Førskolelokaler og skyss"/>
    <n v="10910"/>
    <s v="Pensjonspremie KLP"/>
    <n v="59689.327965600001"/>
    <x v="4"/>
  </r>
  <r>
    <n v="440"/>
    <s v="Vedlikeholdsavdeling"/>
    <n v="2210"/>
    <s v="Førskolelokaler og skyss"/>
    <n v="10990"/>
    <s v="Arbeidsgiveravgift"/>
    <n v="73579.53938799999"/>
    <x v="5"/>
  </r>
  <r>
    <n v="440"/>
    <s v="Vedlikeholdsavdeling"/>
    <n v="2210"/>
    <s v="Førskolelokaler og skyss"/>
    <n v="11300"/>
    <s v="Telefonutgifter"/>
    <n v="1431.3824480000001"/>
    <x v="0"/>
  </r>
  <r>
    <n v="440"/>
    <s v="Vedlikeholdsavdeling"/>
    <n v="2210"/>
    <s v="Førskolelokaler og skyss"/>
    <n v="11800"/>
    <s v="Energi"/>
    <n v="72698.862980000005"/>
    <x v="0"/>
  </r>
  <r>
    <n v="440"/>
    <s v="Vedlikeholdsavdeling"/>
    <n v="2210"/>
    <s v="Førskolelokaler og skyss"/>
    <n v="11950"/>
    <s v="Avgifter"/>
    <n v="14239.037240000001"/>
    <x v="0"/>
  </r>
  <r>
    <n v="440"/>
    <s v="Vedlikeholdsavdeling"/>
    <n v="2210"/>
    <s v="Førskolelokaler og skyss"/>
    <n v="11990"/>
    <s v="Gebyr"/>
    <n v="2886.1075799999999"/>
    <x v="0"/>
  </r>
  <r>
    <n v="440"/>
    <s v="Vedlikeholdsavdeling"/>
    <n v="2210"/>
    <s v="Førskolelokaler og skyss"/>
    <n v="12300"/>
    <s v="Vedlikehold, byggetjenester /nybygg"/>
    <n v="446072.20967920008"/>
    <x v="0"/>
  </r>
  <r>
    <n v="440"/>
    <s v="Vedlikeholdsavdeling"/>
    <n v="2210"/>
    <s v="Førskolelokaler og skyss"/>
    <n v="12400"/>
    <s v="Service- /driftsavtaler og reparasjoner"/>
    <n v="289830.469896"/>
    <x v="0"/>
  </r>
  <r>
    <n v="440"/>
    <s v="Vedlikeholdsavdeling"/>
    <n v="2210"/>
    <s v="Førskolelokaler og skyss"/>
    <n v="14290"/>
    <s v="Momskomp.utgift, drift"/>
    <n v="184199.81631720002"/>
    <x v="1"/>
  </r>
  <r>
    <n v="440"/>
    <s v="Vedlikeholdsavdeling"/>
    <n v="2210"/>
    <s v="Førskolelokaler og skyss"/>
    <n v="17290"/>
    <s v="Momskomp.innt, drift"/>
    <n v="-182726.73431720003"/>
    <x v="2"/>
  </r>
  <r>
    <n v="441"/>
    <s v="Renholdsavdeling"/>
    <n v="2210"/>
    <s v="Førskolelokaler og skyss"/>
    <n v="10100"/>
    <s v="Fast lønn"/>
    <n v="1850144.0800040001"/>
    <x v="3"/>
  </r>
  <r>
    <n v="441"/>
    <s v="Renholdsavdeling"/>
    <n v="2210"/>
    <s v="Førskolelokaler og skyss"/>
    <n v="10200"/>
    <s v="Vikarer"/>
    <n v="230018.26422880002"/>
    <x v="3"/>
  </r>
  <r>
    <n v="441"/>
    <s v="Renholdsavdeling"/>
    <n v="2210"/>
    <s v="Førskolelokaler og skyss"/>
    <n v="10500"/>
    <s v="Annen lønn og trekkpliktige godtgjørelser"/>
    <n v="0"/>
    <x v="3"/>
  </r>
  <r>
    <n v="441"/>
    <s v="Renholdsavdeling"/>
    <n v="2210"/>
    <s v="Førskolelokaler og skyss"/>
    <n v="10910"/>
    <s v="Pensjonspremie KLP"/>
    <n v="253468.403895"/>
    <x v="4"/>
  </r>
  <r>
    <n v="441"/>
    <s v="Renholdsavdeling"/>
    <n v="2210"/>
    <s v="Førskolelokaler og skyss"/>
    <n v="10990"/>
    <s v="Arbeidsgiveravgift"/>
    <n v="295557.67673520005"/>
    <x v="5"/>
  </r>
  <r>
    <n v="441"/>
    <s v="Renholdsavdeling"/>
    <n v="2210"/>
    <s v="Førskolelokaler og skyss"/>
    <n v="11200"/>
    <s v="Div. driftsutgifter"/>
    <n v="2190.529591"/>
    <x v="0"/>
  </r>
  <r>
    <n v="441"/>
    <s v="Renholdsavdeling"/>
    <n v="2210"/>
    <s v="Førskolelokaler og skyss"/>
    <n v="11210"/>
    <s v="Velferdstiltak, ansatte"/>
    <n v="2266.2800000000002"/>
    <x v="0"/>
  </r>
  <r>
    <n v="441"/>
    <s v="Renholdsavdeling"/>
    <n v="2210"/>
    <s v="Førskolelokaler og skyss"/>
    <n v="11250"/>
    <s v="Rengjøringsmidler"/>
    <n v="165871.03885780001"/>
    <x v="0"/>
  </r>
  <r>
    <n v="441"/>
    <s v="Renholdsavdeling"/>
    <n v="2210"/>
    <s v="Førskolelokaler og skyss"/>
    <n v="11260"/>
    <s v="Tekstiler"/>
    <n v="2017.895712"/>
    <x v="0"/>
  </r>
  <r>
    <n v="441"/>
    <s v="Renholdsavdeling"/>
    <n v="2210"/>
    <s v="Førskolelokaler og skyss"/>
    <n v="12300"/>
    <s v="Vedlikehold, byggetjenester /nybygg"/>
    <n v="44487.076399999998"/>
    <x v="0"/>
  </r>
  <r>
    <n v="441"/>
    <s v="Renholdsavdeling"/>
    <n v="2210"/>
    <s v="Førskolelokaler og skyss"/>
    <n v="12400"/>
    <s v="Service- /driftsavtaler og reparasjoner"/>
    <n v="2712.1026016000001"/>
    <x v="0"/>
  </r>
  <r>
    <n v="441"/>
    <s v="Renholdsavdeling"/>
    <n v="2210"/>
    <s v="Førskolelokaler og skyss"/>
    <n v="12600"/>
    <s v="Renhold-, vaskeri og vaktmestertjenester"/>
    <n v="384457.51821399992"/>
    <x v="0"/>
  </r>
  <r>
    <n v="441"/>
    <s v="Renholdsavdeling"/>
    <n v="2210"/>
    <s v="Førskolelokaler og skyss"/>
    <n v="14290"/>
    <s v="Momskomp.utgift, drift"/>
    <n v="149886.46743619998"/>
    <x v="1"/>
  </r>
  <r>
    <n v="441"/>
    <s v="Renholdsavdeling"/>
    <n v="2210"/>
    <s v="Førskolelokaler og skyss"/>
    <n v="17100"/>
    <s v="Sykelønnsrefusjon"/>
    <n v="-199344.59502199996"/>
    <x v="6"/>
  </r>
  <r>
    <n v="441"/>
    <s v="Renholdsavdeling"/>
    <n v="2210"/>
    <s v="Førskolelokaler og skyss"/>
    <n v="17110"/>
    <s v="Ref.feriep. av sykep."/>
    <n v="-4452.7529498000004"/>
    <x v="6"/>
  </r>
  <r>
    <n v="441"/>
    <s v="Renholdsavdeling"/>
    <n v="2210"/>
    <s v="Førskolelokaler og skyss"/>
    <n v="17290"/>
    <s v="Momskomp.innt, drift"/>
    <n v="-149886.46743619998"/>
    <x v="2"/>
  </r>
  <r>
    <n v="480"/>
    <s v="Teknisk drift"/>
    <n v="2210"/>
    <s v="Førskolelokaler og skyss"/>
    <n v="12300"/>
    <s v="Vedlikehold, byggetjenester /nybygg"/>
    <n v="3024.1240320000002"/>
    <x v="0"/>
  </r>
  <r>
    <n v="480"/>
    <s v="Teknisk drift"/>
    <n v="2210"/>
    <s v="Førskolelokaler og skyss"/>
    <n v="14290"/>
    <s v="Momskomp.utgift, drift"/>
    <n v="756.03100800000004"/>
    <x v="1"/>
  </r>
  <r>
    <n v="480"/>
    <s v="Teknisk drift"/>
    <n v="2210"/>
    <s v="Førskolelokaler og skyss"/>
    <n v="17290"/>
    <s v="Momskomp.innt, drift"/>
    <n v="-756.03100800000004"/>
    <x v="2"/>
  </r>
  <r>
    <n v="900"/>
    <s v="Finansieringstransaksjoner"/>
    <n v="2210"/>
    <s v="Førskolelokaler og skyss"/>
    <n v="15900"/>
    <s v="Avskrivninger"/>
    <n v="2978410.89812"/>
    <x v="7"/>
  </r>
  <r>
    <m/>
    <m/>
    <m/>
    <m/>
    <m/>
    <m/>
    <m/>
    <x v="8"/>
  </r>
  <r>
    <m/>
    <m/>
    <m/>
    <m/>
    <m/>
    <m/>
    <m/>
    <x v="8"/>
  </r>
  <r>
    <m/>
    <m/>
    <m/>
    <m/>
    <m/>
    <m/>
    <m/>
    <x v="8"/>
  </r>
  <r>
    <m/>
    <m/>
    <m/>
    <m/>
    <m/>
    <m/>
    <m/>
    <x v="8"/>
  </r>
  <r>
    <m/>
    <m/>
    <m/>
    <m/>
    <m/>
    <m/>
    <m/>
    <x v="8"/>
  </r>
  <r>
    <m/>
    <m/>
    <m/>
    <m/>
    <m/>
    <m/>
    <m/>
    <x v="8"/>
  </r>
  <r>
    <m/>
    <m/>
    <m/>
    <m/>
    <m/>
    <m/>
    <m/>
    <x v="8"/>
  </r>
  <r>
    <m/>
    <m/>
    <m/>
    <m/>
    <m/>
    <m/>
    <m/>
    <x v="8"/>
  </r>
  <r>
    <m/>
    <m/>
    <m/>
    <m/>
    <m/>
    <m/>
    <m/>
    <x v="8"/>
  </r>
  <r>
    <m/>
    <m/>
    <m/>
    <m/>
    <m/>
    <m/>
    <m/>
    <x v="8"/>
  </r>
  <r>
    <m/>
    <m/>
    <m/>
    <m/>
    <m/>
    <m/>
    <m/>
    <x v="8"/>
  </r>
  <r>
    <m/>
    <m/>
    <m/>
    <m/>
    <m/>
    <m/>
    <m/>
    <x v="8"/>
  </r>
  <r>
    <m/>
    <m/>
    <m/>
    <m/>
    <m/>
    <m/>
    <m/>
    <x v="8"/>
  </r>
  <r>
    <m/>
    <m/>
    <m/>
    <m/>
    <m/>
    <m/>
    <m/>
    <x v="8"/>
  </r>
  <r>
    <m/>
    <m/>
    <m/>
    <m/>
    <m/>
    <m/>
    <m/>
    <x v="8"/>
  </r>
  <r>
    <m/>
    <m/>
    <m/>
    <m/>
    <m/>
    <m/>
    <m/>
    <x v="8"/>
  </r>
  <r>
    <m/>
    <m/>
    <m/>
    <m/>
    <m/>
    <m/>
    <m/>
    <x v="8"/>
  </r>
  <r>
    <m/>
    <m/>
    <m/>
    <m/>
    <m/>
    <m/>
    <m/>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ell3" cacheId="74" applyNumberFormats="0" applyBorderFormats="0" applyFontFormats="0" applyPatternFormats="0" applyAlignmentFormats="0" applyWidthHeightFormats="1" dataCaption="Verdier" updatedVersion="6" minRefreshableVersion="3" useAutoFormatting="1" itemPrintTitles="1" createdVersion="6" indent="0" outline="1" outlineData="1" multipleFieldFilters="0">
  <location ref="K20:L39" firstHeaderRow="1" firstDataRow="1" firstDataCol="1"/>
  <pivotFields count="8">
    <pivotField subtotalTop="0" showAll="0"/>
    <pivotField subtotalTop="0" showAll="0"/>
    <pivotField subtotalTop="0" showAll="0"/>
    <pivotField subtotalTop="0" showAll="0"/>
    <pivotField subtotalTop="0" showAll="0"/>
    <pivotField subtotalTop="0" showAll="0"/>
    <pivotField dataField="1" numFmtId="3" subtotalTop="0" showAll="0"/>
    <pivotField axis="axisRow" subtotalTop="0" showAll="0">
      <items count="19">
        <item x="4"/>
        <item x="1"/>
        <item x="2"/>
        <item x="13"/>
        <item x="3"/>
        <item x="11"/>
        <item x="5"/>
        <item x="6"/>
        <item x="15"/>
        <item x="16"/>
        <item x="8"/>
        <item x="0"/>
        <item x="10"/>
        <item x="9"/>
        <item x="7"/>
        <item x="12"/>
        <item x="14"/>
        <item x="17"/>
        <item t="default"/>
      </items>
    </pivotField>
  </pivotFields>
  <rowFields count="1">
    <field x="7"/>
  </rowFields>
  <rowItems count="19">
    <i>
      <x/>
    </i>
    <i>
      <x v="1"/>
    </i>
    <i>
      <x v="2"/>
    </i>
    <i>
      <x v="3"/>
    </i>
    <i>
      <x v="4"/>
    </i>
    <i>
      <x v="5"/>
    </i>
    <i>
      <x v="6"/>
    </i>
    <i>
      <x v="7"/>
    </i>
    <i>
      <x v="8"/>
    </i>
    <i>
      <x v="9"/>
    </i>
    <i>
      <x v="10"/>
    </i>
    <i>
      <x v="11"/>
    </i>
    <i>
      <x v="12"/>
    </i>
    <i>
      <x v="13"/>
    </i>
    <i>
      <x v="14"/>
    </i>
    <i>
      <x v="15"/>
    </i>
    <i>
      <x v="16"/>
    </i>
    <i>
      <x v="17"/>
    </i>
    <i t="grand">
      <x/>
    </i>
  </rowItems>
  <colItems count="1">
    <i/>
  </colItems>
  <dataFields count="1">
    <dataField name="Summer av Regnskap" fld="6" baseField="0" baseItem="0" numFmtId="3"/>
  </dataFields>
  <formats count="4">
    <format dxfId="14">
      <pivotArea outline="0" collapsedLevelsAreSubtotals="1" fieldPosition="0"/>
    </format>
    <format dxfId="13">
      <pivotArea outline="0" collapsedLevelsAreSubtotals="1" fieldPosition="0"/>
    </format>
    <format dxfId="12">
      <pivotArea outline="0" collapsedLevelsAreSubtotals="1" fieldPosition="0"/>
    </format>
    <format dxfId="1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ell2" cacheId="75" applyNumberFormats="0" applyBorderFormats="0" applyFontFormats="0" applyPatternFormats="0" applyAlignmentFormats="0" applyWidthHeightFormats="1" dataCaption="Data" updatedVersion="6" minRefreshableVersion="3" showMemberPropertyTips="0" useAutoFormatting="1" itemPrintTitles="1" createdVersion="6" indent="0" compact="0" compactData="0" gridDropZones="1">
  <location ref="K17:L28" firstHeaderRow="2" firstDataRow="2" firstDataCol="1"/>
  <pivotFields count="8">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numFmtId="167" outline="0" subtotalTop="0" showAll="0" includeNewItemsInFilter="1"/>
    <pivotField axis="axisRow" compact="0" outline="0" subtotalTop="0" showAll="0" includeNewItemsInFilter="1" sortType="ascending">
      <items count="11">
        <item x="3"/>
        <item x="0"/>
        <item x="1"/>
        <item x="6"/>
        <item x="2"/>
        <item m="1" x="9"/>
        <item x="4"/>
        <item x="5"/>
        <item x="7"/>
        <item x="8"/>
        <item t="default"/>
      </items>
    </pivotField>
  </pivotFields>
  <rowFields count="1">
    <field x="7"/>
  </rowFields>
  <rowItems count="10">
    <i>
      <x/>
    </i>
    <i>
      <x v="1"/>
    </i>
    <i>
      <x v="2"/>
    </i>
    <i>
      <x v="3"/>
    </i>
    <i>
      <x v="4"/>
    </i>
    <i>
      <x v="6"/>
    </i>
    <i>
      <x v="7"/>
    </i>
    <i>
      <x v="8"/>
    </i>
    <i>
      <x v="9"/>
    </i>
    <i t="grand">
      <x/>
    </i>
  </rowItems>
  <colItems count="1">
    <i/>
  </colItems>
  <dataFields count="1">
    <dataField name="Sum av Regnskap" fld="6" baseField="0" baseItem="1" numFmtId="3"/>
  </dataFields>
  <formats count="11">
    <format dxfId="10">
      <pivotArea outline="0" fieldPosition="0"/>
    </format>
    <format dxfId="9">
      <pivotArea outline="0" fieldPosition="0">
        <references count="1">
          <reference field="4294967294" count="1">
            <x v="0"/>
          </reference>
        </references>
      </pivotArea>
    </format>
    <format dxfId="8">
      <pivotArea outline="0" collapsedLevelsAreSubtotals="1" fieldPosition="0"/>
    </format>
    <format dxfId="7">
      <pivotArea type="topRight" dataOnly="0" labelOnly="1" outline="0" fieldPosition="0"/>
    </format>
    <format dxfId="6">
      <pivotArea type="topRight" dataOnly="0" labelOnly="1" outline="0" fieldPosition="0"/>
    </format>
    <format dxfId="5">
      <pivotArea outline="0" collapsedLevelsAreSubtotals="1" fieldPosition="0"/>
    </format>
    <format dxfId="4">
      <pivotArea type="topRight" dataOnly="0" labelOnly="1" outline="0" fieldPosition="0"/>
    </format>
    <format dxfId="3">
      <pivotArea type="topRight" dataOnly="0" labelOnly="1" outline="0" fieldPosition="0"/>
    </format>
    <format dxfId="2">
      <pivotArea outline="0" collapsedLevelsAreSubtotals="1" fieldPosition="0"/>
    </format>
    <format dxfId="1">
      <pivotArea type="topRight" dataOnly="0" labelOnly="1" outline="0" fieldPosition="0"/>
    </format>
    <format dxfId="0">
      <pivotArea type="topRight" dataOnly="0" labelOnly="1" outline="0" fieldPosition="0"/>
    </format>
  </formats>
  <pivotTableStyleInfo name="PivotStyleLight2"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hyperlink" Target="https://www.udir.no/regelverk-og-tilsyn/barnehage/tilskudd-til-private-barnehager/" TargetMode="Externa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lovdata.no/forskrift/2015-10-09-1166/&#167;6"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30" zoomScaleNormal="130" workbookViewId="0">
      <selection activeCell="P89" sqref="P89"/>
    </sheetView>
  </sheetViews>
  <sheetFormatPr baseColWidth="10" defaultRowHeight="12.75" x14ac:dyDescent="0.2"/>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zoomScaleNormal="100" workbookViewId="0">
      <selection activeCell="A2" sqref="A2:H79"/>
    </sheetView>
  </sheetViews>
  <sheetFormatPr baseColWidth="10" defaultColWidth="11.42578125" defaultRowHeight="12.75" x14ac:dyDescent="0.2"/>
  <cols>
    <col min="1" max="1" width="6" style="7" customWidth="1"/>
    <col min="2" max="2" width="25.7109375" style="7" customWidth="1"/>
    <col min="3" max="3" width="5.7109375" style="8" customWidth="1"/>
    <col min="4" max="4" width="22.42578125" style="8" customWidth="1"/>
    <col min="5" max="5" width="25.5703125" style="9" customWidth="1"/>
    <col min="6" max="6" width="7.28515625" style="9" customWidth="1"/>
    <col min="7" max="7" width="22" style="9" customWidth="1"/>
    <col min="8" max="8" width="11.5703125" style="31" customWidth="1"/>
    <col min="9" max="9" width="10.42578125" style="9" customWidth="1"/>
    <col min="10" max="10" width="13" style="9" customWidth="1"/>
    <col min="11" max="11" width="11.28515625" style="9" customWidth="1"/>
    <col min="12" max="12" width="11.42578125" style="9"/>
    <col min="13" max="16384" width="11.42578125" style="7"/>
  </cols>
  <sheetData>
    <row r="1" spans="1:8" s="14" customFormat="1" x14ac:dyDescent="0.2">
      <c r="A1" s="232" t="s">
        <v>29</v>
      </c>
      <c r="B1" s="233" t="s">
        <v>78</v>
      </c>
      <c r="C1" s="233" t="s">
        <v>79</v>
      </c>
      <c r="D1" s="109" t="s">
        <v>80</v>
      </c>
      <c r="E1" s="107" t="s">
        <v>81</v>
      </c>
      <c r="F1" s="107" t="s">
        <v>82</v>
      </c>
      <c r="G1" s="234" t="s">
        <v>83</v>
      </c>
      <c r="H1" s="235" t="s">
        <v>90</v>
      </c>
    </row>
    <row r="2" spans="1:8" s="14" customFormat="1" x14ac:dyDescent="0.2">
      <c r="A2" s="232">
        <v>121</v>
      </c>
      <c r="B2" s="233" t="s">
        <v>288</v>
      </c>
      <c r="C2" s="233">
        <v>2110</v>
      </c>
      <c r="D2" s="109" t="s">
        <v>410</v>
      </c>
      <c r="E2" s="107" t="s">
        <v>411</v>
      </c>
      <c r="F2" s="107">
        <v>10930</v>
      </c>
      <c r="G2" s="234" t="s">
        <v>289</v>
      </c>
      <c r="H2" s="235">
        <v>9065.1200000000008</v>
      </c>
    </row>
    <row r="3" spans="1:8" s="14" customFormat="1" x14ac:dyDescent="0.2">
      <c r="A3" s="232">
        <v>121</v>
      </c>
      <c r="B3" s="233" t="s">
        <v>288</v>
      </c>
      <c r="C3" s="233">
        <v>2110</v>
      </c>
      <c r="D3" s="109" t="s">
        <v>410</v>
      </c>
      <c r="E3" s="107" t="s">
        <v>412</v>
      </c>
      <c r="F3" s="107">
        <v>11860</v>
      </c>
      <c r="G3" s="234" t="s">
        <v>290</v>
      </c>
      <c r="H3" s="235">
        <v>11331.400000000001</v>
      </c>
    </row>
    <row r="4" spans="1:8" s="14" customFormat="1" x14ac:dyDescent="0.2">
      <c r="A4" s="232">
        <v>121</v>
      </c>
      <c r="B4" s="233" t="s">
        <v>288</v>
      </c>
      <c r="C4" s="233">
        <v>2110</v>
      </c>
      <c r="D4" s="109" t="s">
        <v>410</v>
      </c>
      <c r="E4" s="107" t="s">
        <v>413</v>
      </c>
      <c r="F4" s="107">
        <v>17700</v>
      </c>
      <c r="G4" s="234" t="s">
        <v>291</v>
      </c>
      <c r="H4" s="235">
        <v>-15863.960000000001</v>
      </c>
    </row>
    <row r="5" spans="1:8" s="14" customFormat="1" x14ac:dyDescent="0.2">
      <c r="A5" s="232">
        <v>123</v>
      </c>
      <c r="B5" s="233" t="s">
        <v>414</v>
      </c>
      <c r="C5" s="233">
        <v>2110</v>
      </c>
      <c r="D5" s="109" t="s">
        <v>410</v>
      </c>
      <c r="E5" s="107" t="s">
        <v>411</v>
      </c>
      <c r="F5" s="107">
        <v>10100</v>
      </c>
      <c r="G5" s="234" t="s">
        <v>306</v>
      </c>
      <c r="H5" s="235">
        <v>577509.33355999994</v>
      </c>
    </row>
    <row r="6" spans="1:8" s="14" customFormat="1" x14ac:dyDescent="0.2">
      <c r="A6" s="232">
        <v>123</v>
      </c>
      <c r="B6" s="233" t="s">
        <v>414</v>
      </c>
      <c r="C6" s="233">
        <v>2110</v>
      </c>
      <c r="D6" s="109" t="s">
        <v>410</v>
      </c>
      <c r="E6" s="107" t="s">
        <v>411</v>
      </c>
      <c r="F6" s="107">
        <v>10130</v>
      </c>
      <c r="G6" s="234" t="s">
        <v>415</v>
      </c>
      <c r="H6" s="235">
        <v>6445.3003200000003</v>
      </c>
    </row>
    <row r="7" spans="1:8" s="14" customFormat="1" x14ac:dyDescent="0.2">
      <c r="A7" s="232">
        <v>123</v>
      </c>
      <c r="B7" s="233" t="s">
        <v>414</v>
      </c>
      <c r="C7" s="233">
        <v>2110</v>
      </c>
      <c r="D7" s="109" t="s">
        <v>410</v>
      </c>
      <c r="E7" s="107" t="s">
        <v>411</v>
      </c>
      <c r="F7" s="107">
        <v>10910</v>
      </c>
      <c r="G7" s="234" t="s">
        <v>301</v>
      </c>
      <c r="H7" s="235">
        <v>76911.877500000002</v>
      </c>
    </row>
    <row r="8" spans="1:8" s="14" customFormat="1" x14ac:dyDescent="0.2">
      <c r="A8" s="232">
        <v>123</v>
      </c>
      <c r="B8" s="233" t="s">
        <v>414</v>
      </c>
      <c r="C8" s="233">
        <v>2110</v>
      </c>
      <c r="D8" s="109" t="s">
        <v>410</v>
      </c>
      <c r="E8" s="107" t="s">
        <v>411</v>
      </c>
      <c r="F8" s="107">
        <v>10990</v>
      </c>
      <c r="G8" s="234" t="s">
        <v>84</v>
      </c>
      <c r="H8" s="235">
        <v>91380.942160000006</v>
      </c>
    </row>
    <row r="9" spans="1:8" s="14" customFormat="1" x14ac:dyDescent="0.2">
      <c r="A9" s="232">
        <v>123</v>
      </c>
      <c r="B9" s="233" t="s">
        <v>414</v>
      </c>
      <c r="C9" s="233">
        <v>2110</v>
      </c>
      <c r="D9" s="109" t="s">
        <v>410</v>
      </c>
      <c r="E9" s="107" t="s">
        <v>412</v>
      </c>
      <c r="F9" s="107">
        <v>11200</v>
      </c>
      <c r="G9" s="234" t="s">
        <v>311</v>
      </c>
      <c r="H9" s="235">
        <v>84575.303320000006</v>
      </c>
    </row>
    <row r="10" spans="1:8" s="14" customFormat="1" x14ac:dyDescent="0.2">
      <c r="A10" s="232">
        <v>123</v>
      </c>
      <c r="B10" s="233" t="s">
        <v>414</v>
      </c>
      <c r="C10" s="233">
        <v>2110</v>
      </c>
      <c r="D10" s="109" t="s">
        <v>410</v>
      </c>
      <c r="E10" s="107" t="s">
        <v>412</v>
      </c>
      <c r="F10" s="107">
        <v>11500</v>
      </c>
      <c r="G10" s="234" t="s">
        <v>343</v>
      </c>
      <c r="H10" s="235">
        <v>0</v>
      </c>
    </row>
    <row r="11" spans="1:8" s="14" customFormat="1" x14ac:dyDescent="0.2">
      <c r="A11" s="232">
        <v>123</v>
      </c>
      <c r="B11" s="233" t="s">
        <v>414</v>
      </c>
      <c r="C11" s="233">
        <v>2110</v>
      </c>
      <c r="D11" s="109" t="s">
        <v>410</v>
      </c>
      <c r="E11" s="107" t="s">
        <v>412</v>
      </c>
      <c r="F11" s="107">
        <v>11600</v>
      </c>
      <c r="G11" s="234" t="s">
        <v>344</v>
      </c>
      <c r="H11" s="235">
        <v>0</v>
      </c>
    </row>
    <row r="12" spans="1:8" s="14" customFormat="1" x14ac:dyDescent="0.2">
      <c r="A12" s="232">
        <v>123</v>
      </c>
      <c r="B12" s="233" t="s">
        <v>414</v>
      </c>
      <c r="C12" s="233">
        <v>2110</v>
      </c>
      <c r="D12" s="109" t="s">
        <v>410</v>
      </c>
      <c r="E12" s="107" t="s">
        <v>412</v>
      </c>
      <c r="F12" s="107">
        <v>11720</v>
      </c>
      <c r="G12" s="234" t="s">
        <v>384</v>
      </c>
      <c r="H12" s="235">
        <v>0</v>
      </c>
    </row>
    <row r="13" spans="1:8" s="14" customFormat="1" x14ac:dyDescent="0.2">
      <c r="A13" s="232">
        <v>123</v>
      </c>
      <c r="B13" s="233" t="s">
        <v>414</v>
      </c>
      <c r="C13" s="233">
        <v>2110</v>
      </c>
      <c r="D13" s="109" t="s">
        <v>410</v>
      </c>
      <c r="E13" s="107" t="s">
        <v>412</v>
      </c>
      <c r="F13" s="107">
        <v>11900</v>
      </c>
      <c r="G13" s="234" t="s">
        <v>366</v>
      </c>
      <c r="H13" s="235">
        <v>0</v>
      </c>
    </row>
    <row r="14" spans="1:8" s="14" customFormat="1" x14ac:dyDescent="0.2">
      <c r="A14" s="232">
        <v>123</v>
      </c>
      <c r="B14" s="233" t="s">
        <v>414</v>
      </c>
      <c r="C14" s="233">
        <v>2110</v>
      </c>
      <c r="D14" s="109" t="s">
        <v>410</v>
      </c>
      <c r="E14" s="107" t="s">
        <v>412</v>
      </c>
      <c r="F14" s="107">
        <v>12000</v>
      </c>
      <c r="G14" s="234" t="s">
        <v>314</v>
      </c>
      <c r="H14" s="235">
        <v>0</v>
      </c>
    </row>
    <row r="15" spans="1:8" s="14" customFormat="1" x14ac:dyDescent="0.2">
      <c r="A15" s="232">
        <v>123</v>
      </c>
      <c r="B15" s="233" t="s">
        <v>414</v>
      </c>
      <c r="C15" s="233">
        <v>2110</v>
      </c>
      <c r="D15" s="109" t="s">
        <v>410</v>
      </c>
      <c r="E15" s="107" t="s">
        <v>412</v>
      </c>
      <c r="F15" s="107">
        <v>12470</v>
      </c>
      <c r="G15" s="234" t="s">
        <v>319</v>
      </c>
      <c r="H15" s="235">
        <v>0</v>
      </c>
    </row>
    <row r="16" spans="1:8" s="14" customFormat="1" x14ac:dyDescent="0.2">
      <c r="A16" s="232">
        <v>123</v>
      </c>
      <c r="B16" s="233" t="s">
        <v>414</v>
      </c>
      <c r="C16" s="233">
        <v>2110</v>
      </c>
      <c r="D16" s="109" t="s">
        <v>410</v>
      </c>
      <c r="E16" s="107" t="s">
        <v>411</v>
      </c>
      <c r="F16" s="107">
        <v>17100</v>
      </c>
      <c r="G16" s="234" t="s">
        <v>328</v>
      </c>
      <c r="H16" s="235">
        <v>-12484.936520000001</v>
      </c>
    </row>
    <row r="17" spans="1:8" s="14" customFormat="1" x14ac:dyDescent="0.2">
      <c r="A17" s="232">
        <v>141</v>
      </c>
      <c r="B17" s="233" t="s">
        <v>299</v>
      </c>
      <c r="C17" s="233">
        <v>2110</v>
      </c>
      <c r="D17" s="109" t="s">
        <v>410</v>
      </c>
      <c r="E17" s="107" t="s">
        <v>411</v>
      </c>
      <c r="F17" s="107">
        <v>10200</v>
      </c>
      <c r="G17" s="234" t="s">
        <v>325</v>
      </c>
      <c r="H17" s="235">
        <v>46458.740000000005</v>
      </c>
    </row>
    <row r="18" spans="1:8" s="14" customFormat="1" x14ac:dyDescent="0.2">
      <c r="A18" s="232">
        <v>141</v>
      </c>
      <c r="B18" s="233" t="s">
        <v>299</v>
      </c>
      <c r="C18" s="233">
        <v>2110</v>
      </c>
      <c r="D18" s="109" t="s">
        <v>410</v>
      </c>
      <c r="E18" s="107" t="s">
        <v>411</v>
      </c>
      <c r="F18" s="107">
        <v>10210</v>
      </c>
      <c r="G18" s="234" t="s">
        <v>332</v>
      </c>
      <c r="H18" s="235">
        <v>-23795.940000000002</v>
      </c>
    </row>
    <row r="19" spans="1:8" s="14" customFormat="1" x14ac:dyDescent="0.2">
      <c r="A19" s="232">
        <v>141</v>
      </c>
      <c r="B19" s="233" t="s">
        <v>299</v>
      </c>
      <c r="C19" s="233">
        <v>2110</v>
      </c>
      <c r="D19" s="109" t="s">
        <v>410</v>
      </c>
      <c r="E19" s="107" t="s">
        <v>411</v>
      </c>
      <c r="F19" s="107">
        <v>10300</v>
      </c>
      <c r="G19" s="234" t="s">
        <v>390</v>
      </c>
      <c r="H19" s="235">
        <v>-80452.94</v>
      </c>
    </row>
    <row r="20" spans="1:8" s="14" customFormat="1" x14ac:dyDescent="0.2">
      <c r="A20" s="232">
        <v>141</v>
      </c>
      <c r="B20" s="233" t="s">
        <v>299</v>
      </c>
      <c r="C20" s="233">
        <v>2110</v>
      </c>
      <c r="D20" s="109" t="s">
        <v>410</v>
      </c>
      <c r="E20" s="107" t="s">
        <v>411</v>
      </c>
      <c r="F20" s="107">
        <v>10500</v>
      </c>
      <c r="G20" s="234" t="s">
        <v>334</v>
      </c>
      <c r="H20" s="235">
        <v>8498.5500000000011</v>
      </c>
    </row>
    <row r="21" spans="1:8" s="14" customFormat="1" x14ac:dyDescent="0.2">
      <c r="A21" s="232">
        <v>141</v>
      </c>
      <c r="B21" s="233" t="s">
        <v>299</v>
      </c>
      <c r="C21" s="233">
        <v>2110</v>
      </c>
      <c r="D21" s="109" t="s">
        <v>410</v>
      </c>
      <c r="E21" s="107" t="s">
        <v>411</v>
      </c>
      <c r="F21" s="107">
        <v>10910</v>
      </c>
      <c r="G21" s="234" t="s">
        <v>301</v>
      </c>
      <c r="H21" s="235">
        <v>-7931.9800000000005</v>
      </c>
    </row>
    <row r="22" spans="1:8" s="14" customFormat="1" x14ac:dyDescent="0.2">
      <c r="A22" s="232">
        <v>141</v>
      </c>
      <c r="B22" s="233" t="s">
        <v>299</v>
      </c>
      <c r="C22" s="233">
        <v>2110</v>
      </c>
      <c r="D22" s="109" t="s">
        <v>410</v>
      </c>
      <c r="E22" s="107" t="s">
        <v>411</v>
      </c>
      <c r="F22" s="107">
        <v>10990</v>
      </c>
      <c r="G22" s="234" t="s">
        <v>84</v>
      </c>
      <c r="H22" s="235">
        <v>-6733.6844499999997</v>
      </c>
    </row>
    <row r="23" spans="1:8" s="14" customFormat="1" x14ac:dyDescent="0.2">
      <c r="A23" s="232">
        <v>180</v>
      </c>
      <c r="B23" s="233" t="s">
        <v>309</v>
      </c>
      <c r="C23" s="233">
        <v>2110</v>
      </c>
      <c r="D23" s="109" t="s">
        <v>410</v>
      </c>
      <c r="E23" s="107" t="s">
        <v>412</v>
      </c>
      <c r="F23" s="107">
        <v>11010</v>
      </c>
      <c r="G23" s="234" t="s">
        <v>310</v>
      </c>
      <c r="H23" s="235">
        <v>5665.7000000000007</v>
      </c>
    </row>
    <row r="24" spans="1:8" s="14" customFormat="1" x14ac:dyDescent="0.2">
      <c r="A24" s="232">
        <v>180</v>
      </c>
      <c r="B24" s="233" t="s">
        <v>309</v>
      </c>
      <c r="C24" s="233">
        <v>2110</v>
      </c>
      <c r="D24" s="109" t="s">
        <v>410</v>
      </c>
      <c r="E24" s="107" t="s">
        <v>412</v>
      </c>
      <c r="F24" s="107">
        <v>11200</v>
      </c>
      <c r="G24" s="234" t="s">
        <v>311</v>
      </c>
      <c r="H24" s="235">
        <v>5665.7000000000007</v>
      </c>
    </row>
    <row r="25" spans="1:8" s="14" customFormat="1" x14ac:dyDescent="0.2">
      <c r="A25" s="232">
        <v>180</v>
      </c>
      <c r="B25" s="233" t="s">
        <v>309</v>
      </c>
      <c r="C25" s="233">
        <v>2110</v>
      </c>
      <c r="D25" s="109" t="s">
        <v>410</v>
      </c>
      <c r="E25" s="107" t="s">
        <v>412</v>
      </c>
      <c r="F25" s="107">
        <v>11300</v>
      </c>
      <c r="G25" s="234" t="s">
        <v>312</v>
      </c>
      <c r="H25" s="235">
        <v>5665.7000000000007</v>
      </c>
    </row>
    <row r="26" spans="1:8" s="14" customFormat="1" x14ac:dyDescent="0.2">
      <c r="A26" s="232">
        <v>180</v>
      </c>
      <c r="B26" s="233" t="s">
        <v>309</v>
      </c>
      <c r="C26" s="233">
        <v>2110</v>
      </c>
      <c r="D26" s="109" t="s">
        <v>410</v>
      </c>
      <c r="E26" s="107" t="s">
        <v>412</v>
      </c>
      <c r="F26" s="107">
        <v>11310</v>
      </c>
      <c r="G26" s="234" t="s">
        <v>313</v>
      </c>
      <c r="H26" s="235">
        <v>12464.54</v>
      </c>
    </row>
    <row r="27" spans="1:8" s="14" customFormat="1" x14ac:dyDescent="0.2">
      <c r="A27" s="232">
        <v>180</v>
      </c>
      <c r="B27" s="233" t="s">
        <v>309</v>
      </c>
      <c r="C27" s="233">
        <v>2110</v>
      </c>
      <c r="D27" s="109" t="s">
        <v>410</v>
      </c>
      <c r="E27" s="107" t="s">
        <v>412</v>
      </c>
      <c r="F27" s="107">
        <v>12000</v>
      </c>
      <c r="G27" s="234" t="s">
        <v>314</v>
      </c>
      <c r="H27" s="235">
        <v>10198.26</v>
      </c>
    </row>
    <row r="28" spans="1:8" s="14" customFormat="1" x14ac:dyDescent="0.2">
      <c r="A28" s="232">
        <v>181</v>
      </c>
      <c r="B28" s="233" t="s">
        <v>316</v>
      </c>
      <c r="C28" s="233">
        <v>2110</v>
      </c>
      <c r="D28" s="109" t="s">
        <v>410</v>
      </c>
      <c r="E28" s="107" t="s">
        <v>412</v>
      </c>
      <c r="F28" s="107">
        <v>11980</v>
      </c>
      <c r="G28" s="234" t="s">
        <v>317</v>
      </c>
      <c r="H28" s="235">
        <v>65722.12000000001</v>
      </c>
    </row>
    <row r="29" spans="1:8" s="14" customFormat="1" x14ac:dyDescent="0.2">
      <c r="A29" s="232">
        <v>181</v>
      </c>
      <c r="B29" s="233" t="s">
        <v>316</v>
      </c>
      <c r="C29" s="233">
        <v>2110</v>
      </c>
      <c r="D29" s="109" t="s">
        <v>410</v>
      </c>
      <c r="E29" s="107" t="s">
        <v>412</v>
      </c>
      <c r="F29" s="107">
        <v>12071</v>
      </c>
      <c r="G29" s="234" t="s">
        <v>318</v>
      </c>
      <c r="H29" s="235">
        <v>15863.960000000001</v>
      </c>
    </row>
    <row r="30" spans="1:8" s="14" customFormat="1" x14ac:dyDescent="0.2">
      <c r="A30" s="232">
        <v>181</v>
      </c>
      <c r="B30" s="233" t="s">
        <v>316</v>
      </c>
      <c r="C30" s="233">
        <v>2110</v>
      </c>
      <c r="D30" s="109" t="s">
        <v>410</v>
      </c>
      <c r="E30" s="107" t="s">
        <v>412</v>
      </c>
      <c r="F30" s="107">
        <v>12470</v>
      </c>
      <c r="G30" s="234" t="s">
        <v>319</v>
      </c>
      <c r="H30" s="235">
        <v>11331.400000000001</v>
      </c>
    </row>
    <row r="31" spans="1:8" s="14" customFormat="1" x14ac:dyDescent="0.2">
      <c r="A31" s="232">
        <v>181</v>
      </c>
      <c r="B31" s="233" t="s">
        <v>316</v>
      </c>
      <c r="C31" s="233">
        <v>2110</v>
      </c>
      <c r="D31" s="109" t="s">
        <v>410</v>
      </c>
      <c r="E31" s="107" t="s">
        <v>412</v>
      </c>
      <c r="F31" s="107">
        <v>12700</v>
      </c>
      <c r="G31" s="234" t="s">
        <v>320</v>
      </c>
      <c r="H31" s="235">
        <v>11331.400000000001</v>
      </c>
    </row>
    <row r="32" spans="1:8" s="14" customFormat="1" x14ac:dyDescent="0.2">
      <c r="A32" s="232">
        <v>270</v>
      </c>
      <c r="B32" s="233" t="s">
        <v>416</v>
      </c>
      <c r="C32" s="233">
        <v>2110</v>
      </c>
      <c r="D32" s="109" t="s">
        <v>410</v>
      </c>
      <c r="E32" s="107" t="s">
        <v>417</v>
      </c>
      <c r="F32" s="107">
        <v>16203</v>
      </c>
      <c r="G32" s="234" t="s">
        <v>355</v>
      </c>
      <c r="H32" s="235">
        <v>-1640.0841732000004</v>
      </c>
    </row>
    <row r="33" spans="1:8" s="14" customFormat="1" x14ac:dyDescent="0.2">
      <c r="A33" s="232">
        <v>271</v>
      </c>
      <c r="B33" s="233" t="s">
        <v>359</v>
      </c>
      <c r="C33" s="233">
        <v>2110</v>
      </c>
      <c r="D33" s="109" t="s">
        <v>410</v>
      </c>
      <c r="E33" s="107" t="s">
        <v>418</v>
      </c>
      <c r="F33" s="107">
        <v>13700</v>
      </c>
      <c r="G33" s="234" t="s">
        <v>360</v>
      </c>
      <c r="H33" s="235">
        <v>653723.19681999995</v>
      </c>
    </row>
    <row r="34" spans="1:8" s="14" customFormat="1" x14ac:dyDescent="0.2">
      <c r="A34" s="232">
        <v>272</v>
      </c>
      <c r="B34" s="233" t="s">
        <v>419</v>
      </c>
      <c r="C34" s="233">
        <v>2110</v>
      </c>
      <c r="D34" s="109" t="s">
        <v>410</v>
      </c>
      <c r="E34" s="107" t="s">
        <v>417</v>
      </c>
      <c r="F34" s="107">
        <v>16203</v>
      </c>
      <c r="G34" s="234" t="s">
        <v>355</v>
      </c>
      <c r="H34" s="235">
        <v>-3095.0359332000003</v>
      </c>
    </row>
    <row r="35" spans="1:8" s="14" customFormat="1" x14ac:dyDescent="0.2">
      <c r="A35" s="232">
        <v>273</v>
      </c>
      <c r="B35" s="233" t="s">
        <v>420</v>
      </c>
      <c r="C35" s="233">
        <v>2110</v>
      </c>
      <c r="D35" s="109" t="s">
        <v>410</v>
      </c>
      <c r="E35" s="107" t="s">
        <v>417</v>
      </c>
      <c r="F35" s="107">
        <v>16203</v>
      </c>
      <c r="G35" s="234" t="s">
        <v>355</v>
      </c>
      <c r="H35" s="235">
        <v>-2447.5824000000002</v>
      </c>
    </row>
    <row r="36" spans="1:8" s="14" customFormat="1" x14ac:dyDescent="0.2">
      <c r="A36" s="232">
        <v>274</v>
      </c>
      <c r="B36" s="233" t="s">
        <v>421</v>
      </c>
      <c r="C36" s="233">
        <v>2110</v>
      </c>
      <c r="D36" s="109" t="s">
        <v>410</v>
      </c>
      <c r="E36" s="107" t="s">
        <v>417</v>
      </c>
      <c r="F36" s="107">
        <v>16203</v>
      </c>
      <c r="G36" s="234" t="s">
        <v>355</v>
      </c>
      <c r="H36" s="235">
        <v>-3127.4664000000002</v>
      </c>
    </row>
    <row r="37" spans="1:8" s="14" customFormat="1" x14ac:dyDescent="0.2">
      <c r="A37" s="232">
        <v>277</v>
      </c>
      <c r="B37" s="233" t="s">
        <v>422</v>
      </c>
      <c r="C37" s="233">
        <v>2110</v>
      </c>
      <c r="D37" s="109" t="s">
        <v>410</v>
      </c>
      <c r="E37" s="107" t="s">
        <v>411</v>
      </c>
      <c r="F37" s="107">
        <v>10100</v>
      </c>
      <c r="G37" s="234" t="s">
        <v>306</v>
      </c>
      <c r="H37" s="235">
        <v>58.843960199999998</v>
      </c>
    </row>
    <row r="38" spans="1:8" s="14" customFormat="1" x14ac:dyDescent="0.2">
      <c r="A38" s="232">
        <v>277</v>
      </c>
      <c r="B38" s="233" t="s">
        <v>422</v>
      </c>
      <c r="C38" s="233">
        <v>2110</v>
      </c>
      <c r="D38" s="109" t="s">
        <v>410</v>
      </c>
      <c r="E38" s="107" t="s">
        <v>411</v>
      </c>
      <c r="F38" s="107">
        <v>10400</v>
      </c>
      <c r="G38" s="234" t="s">
        <v>333</v>
      </c>
      <c r="H38" s="235">
        <v>-3830.9537061999999</v>
      </c>
    </row>
    <row r="39" spans="1:8" s="14" customFormat="1" x14ac:dyDescent="0.2">
      <c r="A39" s="232">
        <v>277</v>
      </c>
      <c r="B39" s="233" t="s">
        <v>422</v>
      </c>
      <c r="C39" s="233">
        <v>2110</v>
      </c>
      <c r="D39" s="109" t="s">
        <v>410</v>
      </c>
      <c r="E39" s="107" t="s">
        <v>411</v>
      </c>
      <c r="F39" s="107">
        <v>10910</v>
      </c>
      <c r="G39" s="234" t="s">
        <v>301</v>
      </c>
      <c r="H39" s="235">
        <v>-3883.7806929999997</v>
      </c>
    </row>
    <row r="40" spans="1:8" s="14" customFormat="1" x14ac:dyDescent="0.2">
      <c r="A40" s="232">
        <v>277</v>
      </c>
      <c r="B40" s="233" t="s">
        <v>422</v>
      </c>
      <c r="C40" s="233">
        <v>2110</v>
      </c>
      <c r="D40" s="109" t="s">
        <v>410</v>
      </c>
      <c r="E40" s="107" t="s">
        <v>411</v>
      </c>
      <c r="F40" s="107">
        <v>10990</v>
      </c>
      <c r="G40" s="234" t="s">
        <v>84</v>
      </c>
      <c r="H40" s="235">
        <v>-1079.4291640000001</v>
      </c>
    </row>
    <row r="41" spans="1:8" s="14" customFormat="1" x14ac:dyDescent="0.2">
      <c r="A41" s="232">
        <v>277</v>
      </c>
      <c r="B41" s="233" t="s">
        <v>422</v>
      </c>
      <c r="C41" s="233">
        <v>2110</v>
      </c>
      <c r="D41" s="109" t="s">
        <v>410</v>
      </c>
      <c r="E41" s="107" t="s">
        <v>412</v>
      </c>
      <c r="F41" s="107">
        <v>11650</v>
      </c>
      <c r="G41" s="234" t="s">
        <v>345</v>
      </c>
      <c r="H41" s="235">
        <v>249.97068400000001</v>
      </c>
    </row>
    <row r="42" spans="1:8" s="14" customFormat="1" x14ac:dyDescent="0.2">
      <c r="A42" s="232">
        <v>277</v>
      </c>
      <c r="B42" s="233" t="s">
        <v>422</v>
      </c>
      <c r="C42" s="233">
        <v>2110</v>
      </c>
      <c r="D42" s="109" t="s">
        <v>410</v>
      </c>
      <c r="E42" s="107" t="s">
        <v>417</v>
      </c>
      <c r="F42" s="107">
        <v>16203</v>
      </c>
      <c r="G42" s="234" t="s">
        <v>355</v>
      </c>
      <c r="H42" s="235">
        <v>-2918.2660932000003</v>
      </c>
    </row>
    <row r="43" spans="1:8" s="14" customFormat="1" x14ac:dyDescent="0.2">
      <c r="A43" s="232">
        <v>279</v>
      </c>
      <c r="B43" s="233" t="s">
        <v>423</v>
      </c>
      <c r="C43" s="233">
        <v>2110</v>
      </c>
      <c r="D43" s="109" t="s">
        <v>410</v>
      </c>
      <c r="E43" s="107" t="s">
        <v>412</v>
      </c>
      <c r="F43" s="107">
        <v>11020</v>
      </c>
      <c r="G43" s="234" t="s">
        <v>294</v>
      </c>
      <c r="H43" s="235">
        <v>266.28789999999998</v>
      </c>
    </row>
    <row r="44" spans="1:8" s="14" customFormat="1" x14ac:dyDescent="0.2">
      <c r="A44" s="232">
        <v>279</v>
      </c>
      <c r="B44" s="233" t="s">
        <v>423</v>
      </c>
      <c r="C44" s="233">
        <v>2110</v>
      </c>
      <c r="D44" s="109" t="s">
        <v>410</v>
      </c>
      <c r="E44" s="107" t="s">
        <v>412</v>
      </c>
      <c r="F44" s="107">
        <v>11070</v>
      </c>
      <c r="G44" s="234" t="s">
        <v>337</v>
      </c>
      <c r="H44" s="235">
        <v>4321.3427039999997</v>
      </c>
    </row>
    <row r="45" spans="1:8" s="14" customFormat="1" x14ac:dyDescent="0.2">
      <c r="A45" s="232">
        <v>279</v>
      </c>
      <c r="B45" s="233" t="s">
        <v>423</v>
      </c>
      <c r="C45" s="233">
        <v>2110</v>
      </c>
      <c r="D45" s="109" t="s">
        <v>410</v>
      </c>
      <c r="E45" s="107" t="s">
        <v>412</v>
      </c>
      <c r="F45" s="107">
        <v>12700</v>
      </c>
      <c r="G45" s="234" t="s">
        <v>320</v>
      </c>
      <c r="H45" s="235">
        <v>8626.0282499999994</v>
      </c>
    </row>
    <row r="46" spans="1:8" s="14" customFormat="1" x14ac:dyDescent="0.2">
      <c r="A46" s="232">
        <v>279</v>
      </c>
      <c r="B46" s="233" t="s">
        <v>423</v>
      </c>
      <c r="C46" s="233">
        <v>2110</v>
      </c>
      <c r="D46" s="109" t="s">
        <v>410</v>
      </c>
      <c r="E46" s="107" t="s">
        <v>424</v>
      </c>
      <c r="F46" s="107">
        <v>14290</v>
      </c>
      <c r="G46" s="234" t="s">
        <v>296</v>
      </c>
      <c r="H46" s="235">
        <v>1080.3356759999999</v>
      </c>
    </row>
    <row r="47" spans="1:8" s="14" customFormat="1" x14ac:dyDescent="0.2">
      <c r="A47" s="232">
        <v>279</v>
      </c>
      <c r="B47" s="233" t="s">
        <v>423</v>
      </c>
      <c r="C47" s="233">
        <v>2110</v>
      </c>
      <c r="D47" s="109" t="s">
        <v>410</v>
      </c>
      <c r="E47" s="107" t="s">
        <v>417</v>
      </c>
      <c r="F47" s="107">
        <v>16203</v>
      </c>
      <c r="G47" s="234" t="s">
        <v>355</v>
      </c>
      <c r="H47" s="235">
        <v>-2121.2380800000001</v>
      </c>
    </row>
    <row r="48" spans="1:8" s="14" customFormat="1" x14ac:dyDescent="0.2">
      <c r="A48" s="232">
        <v>279</v>
      </c>
      <c r="B48" s="233" t="s">
        <v>423</v>
      </c>
      <c r="C48" s="233">
        <v>2110</v>
      </c>
      <c r="D48" s="109" t="s">
        <v>410</v>
      </c>
      <c r="E48" s="107" t="s">
        <v>413</v>
      </c>
      <c r="F48" s="107">
        <v>17290</v>
      </c>
      <c r="G48" s="234" t="s">
        <v>297</v>
      </c>
      <c r="H48" s="235">
        <v>-1080.3356759999999</v>
      </c>
    </row>
    <row r="49" spans="1:8" s="14" customFormat="1" x14ac:dyDescent="0.2">
      <c r="A49" s="232">
        <v>361</v>
      </c>
      <c r="B49" s="233" t="s">
        <v>389</v>
      </c>
      <c r="C49" s="233">
        <v>2110</v>
      </c>
      <c r="D49" s="109" t="s">
        <v>410</v>
      </c>
      <c r="E49" s="107" t="s">
        <v>411</v>
      </c>
      <c r="F49" s="107">
        <v>10100</v>
      </c>
      <c r="G49" s="234" t="s">
        <v>306</v>
      </c>
      <c r="H49" s="235">
        <v>6980575.5314336</v>
      </c>
    </row>
    <row r="50" spans="1:8" s="14" customFormat="1" x14ac:dyDescent="0.2">
      <c r="A50" s="232">
        <v>361</v>
      </c>
      <c r="B50" s="233" t="s">
        <v>389</v>
      </c>
      <c r="C50" s="233">
        <v>2110</v>
      </c>
      <c r="D50" s="109" t="s">
        <v>410</v>
      </c>
      <c r="E50" s="107" t="s">
        <v>411</v>
      </c>
      <c r="F50" s="107">
        <v>10160</v>
      </c>
      <c r="G50" s="234" t="s">
        <v>425</v>
      </c>
      <c r="H50" s="235">
        <v>0</v>
      </c>
    </row>
    <row r="51" spans="1:8" s="14" customFormat="1" x14ac:dyDescent="0.2">
      <c r="A51" s="232">
        <v>361</v>
      </c>
      <c r="B51" s="233" t="s">
        <v>389</v>
      </c>
      <c r="C51" s="233">
        <v>2110</v>
      </c>
      <c r="D51" s="109" t="s">
        <v>410</v>
      </c>
      <c r="E51" s="107" t="s">
        <v>411</v>
      </c>
      <c r="F51" s="107">
        <v>10200</v>
      </c>
      <c r="G51" s="234" t="s">
        <v>325</v>
      </c>
      <c r="H51" s="235">
        <v>26565.470136800002</v>
      </c>
    </row>
    <row r="52" spans="1:8" s="14" customFormat="1" x14ac:dyDescent="0.2">
      <c r="A52" s="232">
        <v>361</v>
      </c>
      <c r="B52" s="233" t="s">
        <v>389</v>
      </c>
      <c r="C52" s="233">
        <v>2110</v>
      </c>
      <c r="D52" s="109" t="s">
        <v>410</v>
      </c>
      <c r="E52" s="107" t="s">
        <v>411</v>
      </c>
      <c r="F52" s="107">
        <v>10210</v>
      </c>
      <c r="G52" s="234" t="s">
        <v>332</v>
      </c>
      <c r="H52" s="235">
        <v>27256.821513600004</v>
      </c>
    </row>
    <row r="53" spans="1:8" s="14" customFormat="1" x14ac:dyDescent="0.2">
      <c r="A53" s="232">
        <v>361</v>
      </c>
      <c r="B53" s="233" t="s">
        <v>389</v>
      </c>
      <c r="C53" s="233">
        <v>2110</v>
      </c>
      <c r="D53" s="109" t="s">
        <v>410</v>
      </c>
      <c r="E53" s="107" t="s">
        <v>411</v>
      </c>
      <c r="F53" s="107">
        <v>10300</v>
      </c>
      <c r="G53" s="234" t="s">
        <v>390</v>
      </c>
      <c r="H53" s="235">
        <v>-5681.6999367999997</v>
      </c>
    </row>
    <row r="54" spans="1:8" s="14" customFormat="1" x14ac:dyDescent="0.2">
      <c r="A54" s="232">
        <v>361</v>
      </c>
      <c r="B54" s="233" t="s">
        <v>389</v>
      </c>
      <c r="C54" s="233">
        <v>2110</v>
      </c>
      <c r="D54" s="109" t="s">
        <v>410</v>
      </c>
      <c r="E54" s="107" t="s">
        <v>411</v>
      </c>
      <c r="F54" s="107">
        <v>10400</v>
      </c>
      <c r="G54" s="234" t="s">
        <v>333</v>
      </c>
      <c r="H54" s="235">
        <v>3025.0645381999998</v>
      </c>
    </row>
    <row r="55" spans="1:8" s="14" customFormat="1" x14ac:dyDescent="0.2">
      <c r="A55" s="232">
        <v>361</v>
      </c>
      <c r="B55" s="233" t="s">
        <v>389</v>
      </c>
      <c r="C55" s="233">
        <v>2110</v>
      </c>
      <c r="D55" s="109" t="s">
        <v>410</v>
      </c>
      <c r="E55" s="107" t="s">
        <v>411</v>
      </c>
      <c r="F55" s="107">
        <v>10500</v>
      </c>
      <c r="G55" s="234" t="s">
        <v>334</v>
      </c>
      <c r="H55" s="235">
        <v>0</v>
      </c>
    </row>
    <row r="56" spans="1:8" s="14" customFormat="1" x14ac:dyDescent="0.2">
      <c r="A56" s="232">
        <v>361</v>
      </c>
      <c r="B56" s="233" t="s">
        <v>389</v>
      </c>
      <c r="C56" s="233">
        <v>2110</v>
      </c>
      <c r="D56" s="109" t="s">
        <v>410</v>
      </c>
      <c r="E56" s="107" t="s">
        <v>411</v>
      </c>
      <c r="F56" s="107">
        <v>10910</v>
      </c>
      <c r="G56" s="234" t="s">
        <v>301</v>
      </c>
      <c r="H56" s="235">
        <v>858928.04064859997</v>
      </c>
    </row>
    <row r="57" spans="1:8" s="14" customFormat="1" x14ac:dyDescent="0.2">
      <c r="A57" s="232">
        <v>361</v>
      </c>
      <c r="B57" s="233" t="s">
        <v>389</v>
      </c>
      <c r="C57" s="233">
        <v>2110</v>
      </c>
      <c r="D57" s="109" t="s">
        <v>410</v>
      </c>
      <c r="E57" s="107" t="s">
        <v>411</v>
      </c>
      <c r="F57" s="107">
        <v>10920</v>
      </c>
      <c r="G57" s="234" t="s">
        <v>326</v>
      </c>
      <c r="H57" s="235">
        <v>49849.910740800005</v>
      </c>
    </row>
    <row r="58" spans="1:8" s="14" customFormat="1" x14ac:dyDescent="0.2">
      <c r="A58" s="232">
        <v>361</v>
      </c>
      <c r="B58" s="233" t="s">
        <v>389</v>
      </c>
      <c r="C58" s="233">
        <v>2110</v>
      </c>
      <c r="D58" s="109" t="s">
        <v>410</v>
      </c>
      <c r="E58" s="107" t="s">
        <v>411</v>
      </c>
      <c r="F58" s="107">
        <v>10990</v>
      </c>
      <c r="G58" s="234" t="s">
        <v>84</v>
      </c>
      <c r="H58" s="235">
        <v>1034415.5174420001</v>
      </c>
    </row>
    <row r="59" spans="1:8" s="14" customFormat="1" x14ac:dyDescent="0.2">
      <c r="A59" s="232">
        <v>361</v>
      </c>
      <c r="B59" s="233" t="s">
        <v>389</v>
      </c>
      <c r="C59" s="233">
        <v>2110</v>
      </c>
      <c r="D59" s="109" t="s">
        <v>410</v>
      </c>
      <c r="E59" s="107" t="s">
        <v>412</v>
      </c>
      <c r="F59" s="107">
        <v>11020</v>
      </c>
      <c r="G59" s="234" t="s">
        <v>294</v>
      </c>
      <c r="H59" s="235">
        <v>1031.1574000000001</v>
      </c>
    </row>
    <row r="60" spans="1:8" s="14" customFormat="1" x14ac:dyDescent="0.2">
      <c r="A60" s="232">
        <v>361</v>
      </c>
      <c r="B60" s="233" t="s">
        <v>389</v>
      </c>
      <c r="C60" s="233">
        <v>2110</v>
      </c>
      <c r="D60" s="109" t="s">
        <v>410</v>
      </c>
      <c r="E60" s="107" t="s">
        <v>412</v>
      </c>
      <c r="F60" s="107">
        <v>11070</v>
      </c>
      <c r="G60" s="234" t="s">
        <v>337</v>
      </c>
      <c r="H60" s="235">
        <v>2081.8048079999999</v>
      </c>
    </row>
    <row r="61" spans="1:8" s="14" customFormat="1" x14ac:dyDescent="0.2">
      <c r="A61" s="232">
        <v>361</v>
      </c>
      <c r="B61" s="233" t="s">
        <v>389</v>
      </c>
      <c r="C61" s="233">
        <v>2110</v>
      </c>
      <c r="D61" s="109" t="s">
        <v>410</v>
      </c>
      <c r="E61" s="107" t="s">
        <v>412</v>
      </c>
      <c r="F61" s="107">
        <v>11200</v>
      </c>
      <c r="G61" s="234" t="s">
        <v>311</v>
      </c>
      <c r="H61" s="235">
        <v>747.67976620000013</v>
      </c>
    </row>
    <row r="62" spans="1:8" s="14" customFormat="1" x14ac:dyDescent="0.2">
      <c r="A62" s="232">
        <v>361</v>
      </c>
      <c r="B62" s="233" t="s">
        <v>389</v>
      </c>
      <c r="C62" s="233">
        <v>2110</v>
      </c>
      <c r="D62" s="109" t="s">
        <v>410</v>
      </c>
      <c r="E62" s="107" t="s">
        <v>412</v>
      </c>
      <c r="F62" s="107">
        <v>11300</v>
      </c>
      <c r="G62" s="234" t="s">
        <v>312</v>
      </c>
      <c r="H62" s="235">
        <v>6658.7159076000007</v>
      </c>
    </row>
    <row r="63" spans="1:8" s="14" customFormat="1" x14ac:dyDescent="0.2">
      <c r="A63" s="232">
        <v>361</v>
      </c>
      <c r="B63" s="233" t="s">
        <v>389</v>
      </c>
      <c r="C63" s="233">
        <v>2110</v>
      </c>
      <c r="D63" s="109" t="s">
        <v>410</v>
      </c>
      <c r="E63" s="107" t="s">
        <v>412</v>
      </c>
      <c r="F63" s="107">
        <v>11301</v>
      </c>
      <c r="G63" s="234" t="s">
        <v>342</v>
      </c>
      <c r="H63" s="235">
        <v>954.59113019999995</v>
      </c>
    </row>
    <row r="64" spans="1:8" s="14" customFormat="1" x14ac:dyDescent="0.2">
      <c r="A64" s="232">
        <v>361</v>
      </c>
      <c r="B64" s="233" t="s">
        <v>389</v>
      </c>
      <c r="C64" s="233">
        <v>2110</v>
      </c>
      <c r="D64" s="109" t="s">
        <v>410</v>
      </c>
      <c r="E64" s="107" t="s">
        <v>412</v>
      </c>
      <c r="F64" s="107">
        <v>11500</v>
      </c>
      <c r="G64" s="234" t="s">
        <v>343</v>
      </c>
      <c r="H64" s="235">
        <v>72844.868068999989</v>
      </c>
    </row>
    <row r="65" spans="1:8" s="14" customFormat="1" x14ac:dyDescent="0.2">
      <c r="A65" s="232">
        <v>361</v>
      </c>
      <c r="B65" s="233" t="s">
        <v>389</v>
      </c>
      <c r="C65" s="233">
        <v>2110</v>
      </c>
      <c r="D65" s="109" t="s">
        <v>410</v>
      </c>
      <c r="E65" s="107" t="s">
        <v>412</v>
      </c>
      <c r="F65" s="107">
        <v>11600</v>
      </c>
      <c r="G65" s="234" t="s">
        <v>344</v>
      </c>
      <c r="H65" s="235">
        <v>11586.900407200001</v>
      </c>
    </row>
    <row r="66" spans="1:8" s="14" customFormat="1" x14ac:dyDescent="0.2">
      <c r="A66" s="232">
        <v>361</v>
      </c>
      <c r="B66" s="233" t="s">
        <v>389</v>
      </c>
      <c r="C66" s="233">
        <v>2110</v>
      </c>
      <c r="D66" s="109" t="s">
        <v>410</v>
      </c>
      <c r="E66" s="107" t="s">
        <v>412</v>
      </c>
      <c r="F66" s="107">
        <v>11650</v>
      </c>
      <c r="G66" s="234" t="s">
        <v>345</v>
      </c>
      <c r="H66" s="235">
        <v>23416.247448800001</v>
      </c>
    </row>
    <row r="67" spans="1:8" s="14" customFormat="1" x14ac:dyDescent="0.2">
      <c r="A67" s="232">
        <v>361</v>
      </c>
      <c r="B67" s="233" t="s">
        <v>389</v>
      </c>
      <c r="C67" s="233">
        <v>2110</v>
      </c>
      <c r="D67" s="109" t="s">
        <v>410</v>
      </c>
      <c r="E67" s="107" t="s">
        <v>412</v>
      </c>
      <c r="F67" s="107">
        <v>11710</v>
      </c>
      <c r="G67" s="234" t="s">
        <v>426</v>
      </c>
      <c r="H67" s="235">
        <v>72452.767634799995</v>
      </c>
    </row>
    <row r="68" spans="1:8" s="14" customFormat="1" x14ac:dyDescent="0.2">
      <c r="A68" s="232">
        <v>361</v>
      </c>
      <c r="B68" s="233" t="s">
        <v>389</v>
      </c>
      <c r="C68" s="233">
        <v>2110</v>
      </c>
      <c r="D68" s="109" t="s">
        <v>410</v>
      </c>
      <c r="E68" s="107" t="s">
        <v>412</v>
      </c>
      <c r="F68" s="107">
        <v>11720</v>
      </c>
      <c r="G68" s="234" t="s">
        <v>384</v>
      </c>
      <c r="H68" s="235">
        <v>899.71316000000002</v>
      </c>
    </row>
    <row r="69" spans="1:8" s="14" customFormat="1" x14ac:dyDescent="0.2">
      <c r="A69" s="232">
        <v>361</v>
      </c>
      <c r="B69" s="233" t="s">
        <v>389</v>
      </c>
      <c r="C69" s="233">
        <v>2110</v>
      </c>
      <c r="D69" s="109" t="s">
        <v>410</v>
      </c>
      <c r="E69" s="107" t="s">
        <v>412</v>
      </c>
      <c r="F69" s="107">
        <v>12000</v>
      </c>
      <c r="G69" s="234" t="s">
        <v>314</v>
      </c>
      <c r="H69" s="235">
        <v>45544.296019999994</v>
      </c>
    </row>
    <row r="70" spans="1:8" s="14" customFormat="1" x14ac:dyDescent="0.2">
      <c r="A70" s="232">
        <v>361</v>
      </c>
      <c r="B70" s="233" t="s">
        <v>389</v>
      </c>
      <c r="C70" s="233">
        <v>2110</v>
      </c>
      <c r="D70" s="109" t="s">
        <v>410</v>
      </c>
      <c r="E70" s="107" t="s">
        <v>412</v>
      </c>
      <c r="F70" s="107">
        <v>12700</v>
      </c>
      <c r="G70" s="234" t="s">
        <v>320</v>
      </c>
      <c r="H70" s="235">
        <v>36017.2741618</v>
      </c>
    </row>
    <row r="71" spans="1:8" s="14" customFormat="1" x14ac:dyDescent="0.2">
      <c r="A71" s="232">
        <v>361</v>
      </c>
      <c r="B71" s="233" t="s">
        <v>389</v>
      </c>
      <c r="C71" s="233">
        <v>2110</v>
      </c>
      <c r="D71" s="109" t="s">
        <v>410</v>
      </c>
      <c r="E71" s="107" t="s">
        <v>418</v>
      </c>
      <c r="F71" s="107">
        <v>13500</v>
      </c>
      <c r="G71" s="234" t="s">
        <v>391</v>
      </c>
      <c r="H71" s="235">
        <v>385754.85019999999</v>
      </c>
    </row>
    <row r="72" spans="1:8" s="14" customFormat="1" x14ac:dyDescent="0.2">
      <c r="A72" s="232">
        <v>361</v>
      </c>
      <c r="B72" s="233" t="s">
        <v>389</v>
      </c>
      <c r="C72" s="233">
        <v>2110</v>
      </c>
      <c r="D72" s="109" t="s">
        <v>410</v>
      </c>
      <c r="E72" s="107" t="s">
        <v>418</v>
      </c>
      <c r="F72" s="107">
        <v>13700</v>
      </c>
      <c r="G72" s="234" t="s">
        <v>360</v>
      </c>
      <c r="H72" s="235">
        <v>128098.70080700002</v>
      </c>
    </row>
    <row r="73" spans="1:8" s="14" customFormat="1" x14ac:dyDescent="0.2">
      <c r="A73" s="232">
        <v>361</v>
      </c>
      <c r="B73" s="233" t="s">
        <v>389</v>
      </c>
      <c r="C73" s="233">
        <v>2110</v>
      </c>
      <c r="D73" s="109" t="s">
        <v>410</v>
      </c>
      <c r="E73" s="107" t="s">
        <v>424</v>
      </c>
      <c r="F73" s="107">
        <v>14290</v>
      </c>
      <c r="G73" s="234" t="s">
        <v>296</v>
      </c>
      <c r="H73" s="235">
        <v>21864.412218799996</v>
      </c>
    </row>
    <row r="74" spans="1:8" s="14" customFormat="1" x14ac:dyDescent="0.2">
      <c r="A74" s="232">
        <v>361</v>
      </c>
      <c r="B74" s="233" t="s">
        <v>389</v>
      </c>
      <c r="C74" s="233">
        <v>2110</v>
      </c>
      <c r="D74" s="109" t="s">
        <v>410</v>
      </c>
      <c r="E74" s="107" t="s">
        <v>417</v>
      </c>
      <c r="F74" s="107">
        <v>16203</v>
      </c>
      <c r="G74" s="234" t="s">
        <v>355</v>
      </c>
      <c r="H74" s="235">
        <v>-81.586079999999995</v>
      </c>
    </row>
    <row r="75" spans="1:8" s="14" customFormat="1" x14ac:dyDescent="0.2">
      <c r="A75" s="232">
        <v>361</v>
      </c>
      <c r="B75" s="233" t="s">
        <v>389</v>
      </c>
      <c r="C75" s="233">
        <v>2110</v>
      </c>
      <c r="D75" s="109" t="s">
        <v>410</v>
      </c>
      <c r="E75" s="107" t="s">
        <v>413</v>
      </c>
      <c r="F75" s="107">
        <v>17000</v>
      </c>
      <c r="G75" s="234" t="s">
        <v>356</v>
      </c>
      <c r="H75" s="235">
        <v>-118166.10548</v>
      </c>
    </row>
    <row r="76" spans="1:8" s="14" customFormat="1" x14ac:dyDescent="0.2">
      <c r="A76" s="232">
        <v>361</v>
      </c>
      <c r="B76" s="233" t="s">
        <v>389</v>
      </c>
      <c r="C76" s="233">
        <v>2110</v>
      </c>
      <c r="D76" s="109" t="s">
        <v>410</v>
      </c>
      <c r="E76" s="107" t="s">
        <v>411</v>
      </c>
      <c r="F76" s="107">
        <v>17100</v>
      </c>
      <c r="G76" s="234" t="s">
        <v>328</v>
      </c>
      <c r="H76" s="235">
        <v>-560257.27706000011</v>
      </c>
    </row>
    <row r="77" spans="1:8" s="14" customFormat="1" x14ac:dyDescent="0.2">
      <c r="A77" s="232">
        <v>361</v>
      </c>
      <c r="B77" s="233" t="s">
        <v>389</v>
      </c>
      <c r="C77" s="233">
        <v>2110</v>
      </c>
      <c r="D77" s="109" t="s">
        <v>410</v>
      </c>
      <c r="E77" s="107" t="s">
        <v>411</v>
      </c>
      <c r="F77" s="107">
        <v>17110</v>
      </c>
      <c r="G77" s="234" t="s">
        <v>329</v>
      </c>
      <c r="H77" s="235">
        <v>-22745.995138799997</v>
      </c>
    </row>
    <row r="78" spans="1:8" s="14" customFormat="1" x14ac:dyDescent="0.2">
      <c r="A78" s="232">
        <v>361</v>
      </c>
      <c r="B78" s="233" t="s">
        <v>389</v>
      </c>
      <c r="C78" s="233">
        <v>2110</v>
      </c>
      <c r="D78" s="109" t="s">
        <v>410</v>
      </c>
      <c r="E78" s="107" t="s">
        <v>413</v>
      </c>
      <c r="F78" s="107">
        <v>17290</v>
      </c>
      <c r="G78" s="234" t="s">
        <v>297</v>
      </c>
      <c r="H78" s="235">
        <v>-21864.412218799996</v>
      </c>
    </row>
    <row r="79" spans="1:8" s="14" customFormat="1" x14ac:dyDescent="0.2">
      <c r="A79" s="232">
        <v>361</v>
      </c>
      <c r="B79" s="233" t="s">
        <v>389</v>
      </c>
      <c r="C79" s="233">
        <v>2110</v>
      </c>
      <c r="D79" s="109" t="s">
        <v>410</v>
      </c>
      <c r="E79" s="107" t="s">
        <v>413</v>
      </c>
      <c r="F79" s="107">
        <v>17500</v>
      </c>
      <c r="G79" s="234" t="s">
        <v>394</v>
      </c>
      <c r="H79" s="235">
        <v>-430842.49080000003</v>
      </c>
    </row>
    <row r="80" spans="1:8" s="14" customFormat="1" x14ac:dyDescent="0.2">
      <c r="A80" s="15"/>
      <c r="B80" s="16"/>
      <c r="C80" s="16"/>
      <c r="D80" s="17"/>
      <c r="G80" s="18"/>
      <c r="H80" s="30"/>
    </row>
    <row r="81" spans="1:8" s="14" customFormat="1" x14ac:dyDescent="0.2">
      <c r="A81" s="15"/>
      <c r="B81" s="16"/>
      <c r="C81" s="16"/>
      <c r="D81" s="17"/>
      <c r="G81" s="118"/>
      <c r="H81" s="30"/>
    </row>
  </sheetData>
  <pageMargins left="0.75" right="0.75" top="1" bottom="1" header="0.5" footer="0.5"/>
  <pageSetup paperSize="9" scale="74"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52"/>
  <sheetViews>
    <sheetView zoomScaleNormal="100" workbookViewId="0">
      <selection activeCell="A23" sqref="A23"/>
    </sheetView>
  </sheetViews>
  <sheetFormatPr baseColWidth="10" defaultColWidth="11.5703125" defaultRowHeight="12.75" x14ac:dyDescent="0.2"/>
  <cols>
    <col min="1" max="1" width="25.85546875" style="105" customWidth="1"/>
    <col min="2" max="2" width="27.5703125" style="105" customWidth="1"/>
    <col min="3" max="3" width="13.42578125" style="105" customWidth="1"/>
    <col min="4" max="4" width="18.5703125" style="105" customWidth="1"/>
    <col min="5" max="5" width="11.28515625" style="105" bestFit="1" customWidth="1"/>
    <col min="6" max="16384" width="11.5703125" style="105"/>
  </cols>
  <sheetData>
    <row r="1" spans="1:7" ht="45.6" customHeight="1" x14ac:dyDescent="0.35">
      <c r="A1" s="182" t="s">
        <v>167</v>
      </c>
      <c r="B1" s="156"/>
      <c r="C1" s="156"/>
      <c r="D1" s="156"/>
      <c r="E1" s="183">
        <v>2019</v>
      </c>
      <c r="G1" s="105" t="s">
        <v>211</v>
      </c>
    </row>
    <row r="2" spans="1:7" s="160" customFormat="1" ht="18" x14ac:dyDescent="0.25">
      <c r="A2" s="167"/>
      <c r="B2" s="168"/>
      <c r="C2" s="169" t="s">
        <v>171</v>
      </c>
      <c r="D2" s="168" t="s">
        <v>178</v>
      </c>
      <c r="E2" s="170" t="s">
        <v>172</v>
      </c>
      <c r="G2" s="219" t="s">
        <v>212</v>
      </c>
    </row>
    <row r="3" spans="1:7" ht="18" x14ac:dyDescent="0.25">
      <c r="A3" s="171"/>
      <c r="B3" s="164"/>
      <c r="C3" s="172">
        <f>E1-2</f>
        <v>2017</v>
      </c>
      <c r="D3" s="164"/>
      <c r="E3" s="173">
        <f>E1</f>
        <v>2019</v>
      </c>
    </row>
    <row r="4" spans="1:7" ht="26.65" customHeight="1" x14ac:dyDescent="0.3">
      <c r="A4" s="174" t="s">
        <v>168</v>
      </c>
      <c r="B4" s="164"/>
      <c r="C4" s="164"/>
      <c r="D4" s="164"/>
      <c r="E4" s="175"/>
    </row>
    <row r="5" spans="1:7" x14ac:dyDescent="0.2">
      <c r="A5" s="176" t="s">
        <v>159</v>
      </c>
      <c r="B5" s="164" t="s">
        <v>157</v>
      </c>
      <c r="C5" s="177">
        <f>'2. Økonomirapport 201'!L9</f>
        <v>5916602.5636479398</v>
      </c>
      <c r="D5" s="177"/>
      <c r="E5" s="175"/>
      <c r="G5" s="105" t="s">
        <v>213</v>
      </c>
    </row>
    <row r="6" spans="1:7" x14ac:dyDescent="0.2">
      <c r="A6" s="259" t="s">
        <v>260</v>
      </c>
      <c r="B6" s="164"/>
      <c r="C6" s="282">
        <f>-2573000*6201/39759</f>
        <v>-401297.14027012751</v>
      </c>
      <c r="D6" s="177"/>
      <c r="E6" s="175"/>
      <c r="G6" s="254" t="s">
        <v>253</v>
      </c>
    </row>
    <row r="7" spans="1:7" x14ac:dyDescent="0.2">
      <c r="A7" s="176" t="s">
        <v>84</v>
      </c>
      <c r="B7" s="178">
        <v>0.14099999999999999</v>
      </c>
      <c r="C7" s="177">
        <f>(C5+C6)*B7</f>
        <v>777658.06469627144</v>
      </c>
      <c r="D7" s="177"/>
      <c r="E7" s="175"/>
      <c r="G7" s="105" t="s">
        <v>214</v>
      </c>
    </row>
    <row r="8" spans="1:7" x14ac:dyDescent="0.2">
      <c r="A8" s="176" t="s">
        <v>160</v>
      </c>
      <c r="B8" s="164"/>
      <c r="C8" s="177">
        <f>C5+C7+C6</f>
        <v>6292963.4880740838</v>
      </c>
      <c r="D8" s="177"/>
      <c r="E8" s="175"/>
      <c r="G8" s="105" t="s">
        <v>215</v>
      </c>
    </row>
    <row r="9" spans="1:7" x14ac:dyDescent="0.2">
      <c r="A9" s="176" t="s">
        <v>161</v>
      </c>
      <c r="B9" s="164" t="s">
        <v>173</v>
      </c>
      <c r="C9" s="179">
        <f>'4. Selvkost kommunen'!D84</f>
        <v>104.65</v>
      </c>
      <c r="D9" s="179"/>
      <c r="E9" s="175"/>
      <c r="G9" s="105" t="s">
        <v>216</v>
      </c>
    </row>
    <row r="10" spans="1:7" ht="15.75" thickBot="1" x14ac:dyDescent="0.3">
      <c r="A10" s="201" t="s">
        <v>185</v>
      </c>
      <c r="B10" s="202"/>
      <c r="C10" s="203">
        <f>C8/C9</f>
        <v>60133.430368600893</v>
      </c>
      <c r="D10" s="253">
        <f>(1+'4. Selvkost kommunen'!C43)*(1+'4. Selvkost kommunen'!C44)</f>
        <v>1.05884</v>
      </c>
      <c r="E10" s="204">
        <f>C10*D10</f>
        <v>63671.681411489371</v>
      </c>
      <c r="G10" s="254" t="s">
        <v>252</v>
      </c>
    </row>
    <row r="11" spans="1:7" ht="48.6" customHeight="1" thickTop="1" x14ac:dyDescent="0.3">
      <c r="A11" s="174" t="s">
        <v>169</v>
      </c>
      <c r="B11" s="164"/>
      <c r="C11" s="164"/>
      <c r="D11" s="164"/>
      <c r="E11" s="175"/>
    </row>
    <row r="12" spans="1:7" x14ac:dyDescent="0.2">
      <c r="A12" s="176" t="s">
        <v>174</v>
      </c>
      <c r="B12" s="164"/>
      <c r="C12" s="177">
        <f>'4. Selvkost kommunen'!D6+'4. Selvkost kommunen'!D19</f>
        <v>6280787.0175442388</v>
      </c>
      <c r="D12" s="177"/>
      <c r="E12" s="175"/>
      <c r="G12" s="105" t="s">
        <v>217</v>
      </c>
    </row>
    <row r="13" spans="1:7" x14ac:dyDescent="0.2">
      <c r="A13" s="176" t="s">
        <v>84</v>
      </c>
      <c r="B13" s="178">
        <v>0.14099999999999999</v>
      </c>
      <c r="C13" s="177">
        <f>C12*B13</f>
        <v>885590.96947373764</v>
      </c>
      <c r="D13" s="177"/>
      <c r="E13" s="175"/>
      <c r="G13" s="105" t="s">
        <v>218</v>
      </c>
    </row>
    <row r="14" spans="1:7" x14ac:dyDescent="0.2">
      <c r="A14" s="176" t="s">
        <v>175</v>
      </c>
      <c r="B14" s="164"/>
      <c r="C14" s="177">
        <f>SUM(C12:C13)</f>
        <v>7166377.9870179761</v>
      </c>
      <c r="D14" s="177"/>
      <c r="E14" s="175"/>
    </row>
    <row r="15" spans="1:7" x14ac:dyDescent="0.2">
      <c r="A15" s="176" t="s">
        <v>164</v>
      </c>
      <c r="B15" s="172" t="s">
        <v>162</v>
      </c>
      <c r="C15" s="177">
        <f>C14*'4. Selvkost kommunen'!D54</f>
        <v>3835329.1971987993</v>
      </c>
      <c r="D15" s="177"/>
      <c r="E15" s="175"/>
      <c r="G15" s="105" t="s">
        <v>219</v>
      </c>
    </row>
    <row r="16" spans="1:7" x14ac:dyDescent="0.2">
      <c r="A16" s="176"/>
      <c r="B16" s="172" t="s">
        <v>163</v>
      </c>
      <c r="C16" s="177">
        <f>C14*'4. Selvkost kommunen'!D55</f>
        <v>3331048.7898191772</v>
      </c>
      <c r="D16" s="177"/>
      <c r="E16" s="175"/>
    </row>
    <row r="17" spans="1:7" x14ac:dyDescent="0.2">
      <c r="A17" s="176" t="s">
        <v>176</v>
      </c>
      <c r="B17" s="172" t="s">
        <v>162</v>
      </c>
      <c r="C17" s="180">
        <f>'4. Selvkost kommunen'!D46</f>
        <v>172.49259259259259</v>
      </c>
      <c r="D17" s="180"/>
      <c r="E17" s="175"/>
      <c r="G17" s="105" t="s">
        <v>220</v>
      </c>
    </row>
    <row r="18" spans="1:7" x14ac:dyDescent="0.2">
      <c r="A18" s="176"/>
      <c r="B18" s="172" t="s">
        <v>163</v>
      </c>
      <c r="C18" s="180">
        <f>'4. Selvkost kommunen'!D47</f>
        <v>269.66296296296298</v>
      </c>
      <c r="D18" s="180"/>
      <c r="E18" s="175"/>
    </row>
    <row r="19" spans="1:7" ht="15" x14ac:dyDescent="0.25">
      <c r="A19" s="205" t="s">
        <v>200</v>
      </c>
      <c r="B19" s="206" t="str">
        <f>B17</f>
        <v>0-2 år</v>
      </c>
      <c r="C19" s="207">
        <f>C15/C17</f>
        <v>22234.747240754856</v>
      </c>
      <c r="D19" s="208">
        <f>D10</f>
        <v>1.05884</v>
      </c>
      <c r="E19" s="209">
        <f>C19*D19</f>
        <v>23543.039768400871</v>
      </c>
      <c r="G19" s="105" t="s">
        <v>221</v>
      </c>
    </row>
    <row r="20" spans="1:7" ht="15.75" thickBot="1" x14ac:dyDescent="0.3">
      <c r="A20" s="210"/>
      <c r="B20" s="211" t="str">
        <f>B18</f>
        <v>3-5 år</v>
      </c>
      <c r="C20" s="212">
        <f>C16/C18</f>
        <v>12352.637355974917</v>
      </c>
      <c r="D20" s="213">
        <f>D10</f>
        <v>1.05884</v>
      </c>
      <c r="E20" s="214">
        <f>C20*D20</f>
        <v>13079.466538000481</v>
      </c>
    </row>
    <row r="21" spans="1:7" ht="13.5" thickTop="1" x14ac:dyDescent="0.2">
      <c r="A21" s="176"/>
      <c r="B21" s="164"/>
      <c r="C21" s="164"/>
      <c r="D21" s="164"/>
      <c r="E21" s="175"/>
    </row>
    <row r="22" spans="1:7" ht="14.25" x14ac:dyDescent="0.2">
      <c r="A22" s="157" t="s">
        <v>179</v>
      </c>
      <c r="B22" s="158"/>
      <c r="C22" s="158"/>
      <c r="D22" s="158"/>
      <c r="E22" s="159"/>
    </row>
    <row r="23" spans="1:7" ht="27.6" customHeight="1" x14ac:dyDescent="0.25">
      <c r="A23" s="225" t="s">
        <v>427</v>
      </c>
      <c r="B23" s="226"/>
      <c r="C23" s="134"/>
      <c r="D23" s="134"/>
      <c r="E23" s="135"/>
      <c r="G23" s="105" t="s">
        <v>222</v>
      </c>
    </row>
    <row r="24" spans="1:7" ht="14.25" x14ac:dyDescent="0.2">
      <c r="A24" s="161" t="s">
        <v>181</v>
      </c>
      <c r="B24" s="135"/>
      <c r="C24" s="136"/>
      <c r="D24" s="136"/>
      <c r="E24" s="137"/>
    </row>
    <row r="25" spans="1:7" ht="33.6" customHeight="1" x14ac:dyDescent="0.3">
      <c r="A25" s="165" t="s">
        <v>170</v>
      </c>
      <c r="B25" s="136"/>
      <c r="C25" s="136"/>
      <c r="D25" s="136"/>
      <c r="E25" s="137"/>
    </row>
    <row r="26" spans="1:7" ht="14.25" x14ac:dyDescent="0.2">
      <c r="A26" s="181" t="str">
        <f>"Antall heltidsplasser små barn. Hentes fra årsmeldingen "&amp;" "&amp;E3-1</f>
        <v>Antall heltidsplasser små barn. Hentes fra årsmeldingen  2018</v>
      </c>
      <c r="B26" s="164"/>
      <c r="C26" s="136"/>
      <c r="D26" s="136"/>
      <c r="E26" s="227">
        <v>6</v>
      </c>
      <c r="G26" s="255" t="s">
        <v>259</v>
      </c>
    </row>
    <row r="27" spans="1:7" ht="14.25" x14ac:dyDescent="0.2">
      <c r="A27" s="181" t="str">
        <f>"Antall heltidsplasser store barn. Hentes fra årsmeldingen "&amp;" "&amp;E3-1</f>
        <v>Antall heltidsplasser store barn. Hentes fra årsmeldingen  2018</v>
      </c>
      <c r="B27" s="163"/>
      <c r="C27" s="136"/>
      <c r="D27" s="136"/>
      <c r="E27" s="227">
        <v>12</v>
      </c>
      <c r="G27" s="255" t="s">
        <v>259</v>
      </c>
    </row>
    <row r="28" spans="1:7" ht="14.25" x14ac:dyDescent="0.2">
      <c r="A28" s="181" t="s">
        <v>177</v>
      </c>
      <c r="B28" s="163"/>
      <c r="C28" s="136"/>
      <c r="D28" s="136"/>
      <c r="E28" s="139">
        <f>E26*E19+E27*E20</f>
        <v>298211.83706641104</v>
      </c>
      <c r="G28" s="105" t="s">
        <v>227</v>
      </c>
    </row>
    <row r="29" spans="1:7" ht="14.25" x14ac:dyDescent="0.2">
      <c r="A29" s="162" t="str">
        <f>"Antall årsverk. Hentes fra årsmeldingen "&amp;" "&amp;E3-1</f>
        <v>Antall årsverk. Hentes fra årsmeldingen  2018</v>
      </c>
      <c r="B29" s="163"/>
      <c r="C29" s="136"/>
      <c r="D29" s="136"/>
      <c r="E29" s="227">
        <v>4.8</v>
      </c>
      <c r="G29" s="255" t="s">
        <v>259</v>
      </c>
    </row>
    <row r="30" spans="1:7" ht="15" x14ac:dyDescent="0.25">
      <c r="A30" s="140" t="s">
        <v>180</v>
      </c>
      <c r="B30" s="141"/>
      <c r="C30" s="141"/>
      <c r="D30" s="141"/>
      <c r="E30" s="142">
        <f>IF(E26="","",E28/E29)</f>
        <v>62127.4660555023</v>
      </c>
      <c r="G30" s="105" t="s">
        <v>223</v>
      </c>
    </row>
    <row r="31" spans="1:7" ht="47.65" customHeight="1" x14ac:dyDescent="0.3">
      <c r="A31" s="165" t="s">
        <v>261</v>
      </c>
      <c r="B31" s="136"/>
      <c r="C31" s="136"/>
      <c r="D31" s="136"/>
      <c r="E31" s="137"/>
    </row>
    <row r="32" spans="1:7" ht="14.45" customHeight="1" x14ac:dyDescent="0.2">
      <c r="A32" s="256" t="s">
        <v>255</v>
      </c>
      <c r="B32" s="136"/>
      <c r="C32" s="228">
        <v>195007</v>
      </c>
      <c r="D32" s="136"/>
      <c r="E32" s="137"/>
      <c r="G32" s="255" t="s">
        <v>258</v>
      </c>
    </row>
    <row r="33" spans="1:7" ht="15" customHeight="1" x14ac:dyDescent="0.2">
      <c r="A33" s="257" t="s">
        <v>256</v>
      </c>
      <c r="B33" s="136"/>
      <c r="C33" s="228"/>
      <c r="D33" s="136"/>
      <c r="E33" s="137"/>
      <c r="G33" s="255" t="s">
        <v>263</v>
      </c>
    </row>
    <row r="34" spans="1:7" ht="14.45" customHeight="1" x14ac:dyDescent="0.2">
      <c r="A34" s="257" t="s">
        <v>257</v>
      </c>
      <c r="B34" s="136"/>
      <c r="C34" s="228"/>
      <c r="D34" s="136"/>
      <c r="E34" s="137"/>
      <c r="G34" s="255" t="s">
        <v>262</v>
      </c>
    </row>
    <row r="35" spans="1:7" ht="14.25" x14ac:dyDescent="0.2">
      <c r="A35" s="181" t="str">
        <f>"Pensjonsutgifter eks arbeidsgiveravgift. Dokumentasjon fra pensjonsleverandør for"&amp;" "&amp;E3-2</f>
        <v>Pensjonsutgifter eks arbeidsgiveravgift. Dokumentasjon fra pensjonsleverandør for 2017</v>
      </c>
      <c r="B35" s="136"/>
      <c r="C35" s="258">
        <f>C32+C33+C34</f>
        <v>195007</v>
      </c>
      <c r="D35" s="136"/>
      <c r="E35" s="175"/>
      <c r="G35" s="254" t="s">
        <v>254</v>
      </c>
    </row>
    <row r="36" spans="1:7" x14ac:dyDescent="0.2">
      <c r="A36" s="181" t="s">
        <v>182</v>
      </c>
      <c r="B36" s="163"/>
      <c r="C36" s="196">
        <f>C35*B13</f>
        <v>27495.986999999997</v>
      </c>
      <c r="D36" s="197"/>
      <c r="E36" s="198"/>
      <c r="G36" s="254"/>
    </row>
    <row r="37" spans="1:7" x14ac:dyDescent="0.2">
      <c r="A37" s="199" t="s">
        <v>183</v>
      </c>
      <c r="B37" s="163"/>
      <c r="C37" s="200">
        <f>SUM(C35:C36)</f>
        <v>222502.98699999999</v>
      </c>
      <c r="D37" s="197">
        <f>D20</f>
        <v>1.05884</v>
      </c>
      <c r="E37" s="198">
        <f>C37*D37</f>
        <v>235595.06275508</v>
      </c>
    </row>
    <row r="38" spans="1:7" ht="14.25" x14ac:dyDescent="0.2">
      <c r="A38" s="138"/>
      <c r="B38" s="136"/>
      <c r="C38" s="136"/>
      <c r="D38" s="136"/>
      <c r="E38" s="137"/>
      <c r="G38" s="105" t="s">
        <v>224</v>
      </c>
    </row>
    <row r="39" spans="1:7" ht="14.25" x14ac:dyDescent="0.2">
      <c r="A39" s="181" t="str">
        <f>"Antall årsverk ved starten på året. Hentes fra årsmelding "&amp;" "&amp;E3-3</f>
        <v>Antall årsverk ved starten på året. Hentes fra årsmelding  2016</v>
      </c>
      <c r="B39" s="136"/>
      <c r="C39" s="136"/>
      <c r="D39" s="136"/>
      <c r="E39" s="228">
        <v>4.37</v>
      </c>
      <c r="G39" s="255" t="s">
        <v>259</v>
      </c>
    </row>
    <row r="40" spans="1:7" ht="14.25" x14ac:dyDescent="0.2">
      <c r="A40" s="181" t="str">
        <f>"Antall årsverk ved slutten av året. Hentes fra årsmelding "&amp;" "&amp;E3-2</f>
        <v>Antall årsverk ved slutten av året. Hentes fra årsmelding  2017</v>
      </c>
      <c r="B40" s="136"/>
      <c r="C40" s="136"/>
      <c r="D40" s="136"/>
      <c r="E40" s="228">
        <v>4.87</v>
      </c>
      <c r="G40" s="255" t="s">
        <v>259</v>
      </c>
    </row>
    <row r="41" spans="1:7" ht="14.25" x14ac:dyDescent="0.2">
      <c r="A41" s="181" t="str">
        <f>"Antall årsverk i gjennomsnitt "&amp;" "&amp;E3-2</f>
        <v>Antall årsverk i gjennomsnitt  2017</v>
      </c>
      <c r="B41" s="136"/>
      <c r="C41" s="136"/>
      <c r="D41" s="136"/>
      <c r="E41" s="166">
        <f>(E39/12*7)+(E40/12*5)</f>
        <v>4.5783333333333331</v>
      </c>
    </row>
    <row r="42" spans="1:7" ht="14.25" x14ac:dyDescent="0.2">
      <c r="A42" s="138"/>
      <c r="B42" s="136"/>
      <c r="C42" s="136"/>
      <c r="D42" s="136"/>
      <c r="E42" s="137"/>
    </row>
    <row r="43" spans="1:7" ht="15" x14ac:dyDescent="0.25">
      <c r="A43" s="140" t="s">
        <v>184</v>
      </c>
      <c r="B43" s="141"/>
      <c r="C43" s="141"/>
      <c r="D43" s="141"/>
      <c r="E43" s="142">
        <f>IF(C35="","",E37/E41)</f>
        <v>51458.695905732799</v>
      </c>
    </row>
    <row r="44" spans="1:7" ht="15" x14ac:dyDescent="0.25">
      <c r="A44" s="143"/>
      <c r="B44" s="144"/>
      <c r="C44" s="144"/>
      <c r="D44" s="144"/>
      <c r="E44" s="145"/>
    </row>
    <row r="45" spans="1:7" ht="15" x14ac:dyDescent="0.25">
      <c r="A45" s="140" t="s">
        <v>201</v>
      </c>
      <c r="B45" s="141"/>
      <c r="C45" s="141"/>
      <c r="D45" s="141"/>
      <c r="E45" s="142">
        <f>(E43-E30)*E29</f>
        <v>-51210.096718893605</v>
      </c>
      <c r="G45" s="105" t="s">
        <v>225</v>
      </c>
    </row>
    <row r="46" spans="1:7" ht="15" x14ac:dyDescent="0.25">
      <c r="A46" s="146"/>
      <c r="B46" s="147"/>
      <c r="C46" s="147"/>
      <c r="D46" s="147"/>
      <c r="E46" s="148"/>
    </row>
    <row r="47" spans="1:7" ht="14.25" x14ac:dyDescent="0.2">
      <c r="A47" s="149" t="s">
        <v>202</v>
      </c>
      <c r="B47" s="150"/>
      <c r="C47" s="150"/>
      <c r="D47" s="150"/>
      <c r="E47" s="151"/>
    </row>
    <row r="48" spans="1:7" ht="14.25" x14ac:dyDescent="0.2">
      <c r="A48" s="149"/>
      <c r="B48" s="150"/>
      <c r="C48" s="150"/>
      <c r="D48" s="150"/>
      <c r="E48" s="151"/>
    </row>
    <row r="49" spans="1:7" ht="14.25" x14ac:dyDescent="0.2">
      <c r="A49" s="149"/>
      <c r="B49" s="150"/>
      <c r="C49" s="150"/>
      <c r="D49" s="150"/>
      <c r="E49" s="151"/>
    </row>
    <row r="50" spans="1:7" ht="14.25" x14ac:dyDescent="0.2">
      <c r="A50" s="152" t="s">
        <v>165</v>
      </c>
      <c r="B50" s="153"/>
      <c r="C50" s="154" t="s">
        <v>166</v>
      </c>
      <c r="D50" s="154"/>
      <c r="E50" s="155"/>
    </row>
    <row r="52" spans="1:7" x14ac:dyDescent="0.2">
      <c r="A52" s="215" t="s">
        <v>203</v>
      </c>
      <c r="G52" s="105" t="s">
        <v>226</v>
      </c>
    </row>
  </sheetData>
  <protectedRanges>
    <protectedRange sqref="E29" name="Område4"/>
    <protectedRange sqref="E27" name="Område3"/>
    <protectedRange sqref="E26" name="Område2"/>
    <protectedRange sqref="A23" name="Område1"/>
    <protectedRange sqref="C35" name="Område5"/>
    <protectedRange sqref="E39" name="Område6"/>
    <protectedRange sqref="E40" name="Område7"/>
  </protectedRanges>
  <pageMargins left="0.7" right="0.7" top="0.75" bottom="0.75" header="0.3" footer="0.3"/>
  <pageSetup paperSize="9" scale="8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5" sqref="B5"/>
    </sheetView>
  </sheetViews>
  <sheetFormatPr baseColWidth="10" defaultRowHeight="12.75" x14ac:dyDescent="0.2"/>
  <sheetData>
    <row r="1" spans="1:2" x14ac:dyDescent="0.2">
      <c r="A1" s="19" t="s">
        <v>264</v>
      </c>
    </row>
    <row r="2" spans="1:2" x14ac:dyDescent="0.2">
      <c r="A2" s="260">
        <v>43035</v>
      </c>
      <c r="B2" t="s">
        <v>265</v>
      </c>
    </row>
    <row r="3" spans="1:2" x14ac:dyDescent="0.2">
      <c r="A3" s="260">
        <v>43179</v>
      </c>
      <c r="B3" t="s">
        <v>266</v>
      </c>
    </row>
    <row r="4" spans="1:2" x14ac:dyDescent="0.2">
      <c r="A4" s="260">
        <v>43623</v>
      </c>
      <c r="B4" t="s">
        <v>428</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Normal="100" workbookViewId="0">
      <pane xSplit="3" ySplit="1" topLeftCell="D51" activePane="bottomRight" state="frozen"/>
      <selection pane="topRight" activeCell="E1" sqref="E1"/>
      <selection pane="bottomLeft" activeCell="A2" sqref="A2"/>
      <selection pane="bottomRight" activeCell="K80" sqref="K80"/>
    </sheetView>
  </sheetViews>
  <sheetFormatPr baseColWidth="10" defaultColWidth="11.42578125" defaultRowHeight="12.75" outlineLevelRow="1" x14ac:dyDescent="0.2"/>
  <cols>
    <col min="1" max="1" width="15.42578125" style="14" customWidth="1"/>
    <col min="2" max="2" width="5.42578125" style="14" bestFit="1" customWidth="1"/>
    <col min="3" max="3" width="12.5703125" style="14" customWidth="1"/>
    <col min="4" max="10" width="9.42578125" style="14" customWidth="1"/>
    <col min="11" max="11" width="7.42578125" style="14" customWidth="1"/>
    <col min="12" max="16384" width="11.42578125" style="14"/>
  </cols>
  <sheetData>
    <row r="1" spans="1:13" x14ac:dyDescent="0.2">
      <c r="A1" s="223" t="s">
        <v>234</v>
      </c>
      <c r="B1" s="78" t="s">
        <v>20</v>
      </c>
      <c r="C1" s="78" t="s">
        <v>34</v>
      </c>
      <c r="D1" s="80" t="s">
        <v>111</v>
      </c>
      <c r="E1" s="80" t="s">
        <v>112</v>
      </c>
      <c r="F1" s="80" t="s">
        <v>113</v>
      </c>
      <c r="G1" s="80" t="s">
        <v>114</v>
      </c>
      <c r="H1" s="80" t="s">
        <v>115</v>
      </c>
      <c r="I1" s="80" t="s">
        <v>116</v>
      </c>
      <c r="J1" s="80" t="s">
        <v>117</v>
      </c>
      <c r="K1" s="26" t="s">
        <v>28</v>
      </c>
      <c r="M1" s="14" t="s">
        <v>57</v>
      </c>
    </row>
    <row r="2" spans="1:13" outlineLevel="1" x14ac:dyDescent="0.2">
      <c r="A2" s="14" t="s">
        <v>4</v>
      </c>
      <c r="B2" s="14">
        <v>0</v>
      </c>
      <c r="C2" s="103">
        <v>2017</v>
      </c>
      <c r="D2" s="107"/>
      <c r="E2" s="107"/>
      <c r="F2" s="107"/>
      <c r="G2" s="107"/>
      <c r="H2" s="107"/>
      <c r="I2" s="107"/>
      <c r="J2" s="107"/>
      <c r="K2" s="81">
        <f t="shared" ref="K2:K49" si="0">SUM(D2:J2)</f>
        <v>0</v>
      </c>
      <c r="M2" s="14" t="s">
        <v>208</v>
      </c>
    </row>
    <row r="3" spans="1:13" outlineLevel="1" x14ac:dyDescent="0.2">
      <c r="B3" s="14">
        <v>1</v>
      </c>
      <c r="C3" s="78" t="str">
        <f>$C$2-B3&amp;" etter 1.12."</f>
        <v>2016 etter 1.12.</v>
      </c>
      <c r="D3" s="107"/>
      <c r="E3" s="107"/>
      <c r="F3" s="107"/>
      <c r="G3" s="107"/>
      <c r="H3" s="107"/>
      <c r="I3" s="107"/>
      <c r="J3" s="107"/>
      <c r="K3" s="81">
        <f t="shared" si="0"/>
        <v>0</v>
      </c>
    </row>
    <row r="4" spans="1:13" outlineLevel="1" x14ac:dyDescent="0.2">
      <c r="B4" s="14">
        <v>1</v>
      </c>
      <c r="C4" s="78" t="str">
        <f>$C$2-B4&amp;" før 1.12."</f>
        <v>2016 før 1.12.</v>
      </c>
      <c r="D4" s="107"/>
      <c r="E4" s="107"/>
      <c r="F4" s="107"/>
      <c r="G4" s="107"/>
      <c r="H4" s="107"/>
      <c r="I4" s="107"/>
      <c r="J4" s="107"/>
      <c r="K4" s="81"/>
    </row>
    <row r="5" spans="1:13" outlineLevel="1" x14ac:dyDescent="0.2">
      <c r="B5" s="14">
        <v>2</v>
      </c>
      <c r="C5" s="78">
        <f>$C$2-B5</f>
        <v>2015</v>
      </c>
      <c r="D5" s="107"/>
      <c r="E5" s="107"/>
      <c r="F5" s="107"/>
      <c r="G5" s="107"/>
      <c r="H5" s="107"/>
      <c r="I5" s="107"/>
      <c r="J5" s="107"/>
      <c r="K5" s="81">
        <f t="shared" si="0"/>
        <v>0</v>
      </c>
    </row>
    <row r="6" spans="1:13" outlineLevel="1" x14ac:dyDescent="0.2">
      <c r="B6" s="14">
        <v>3</v>
      </c>
      <c r="C6" s="78">
        <f>$C$2-B6</f>
        <v>2014</v>
      </c>
      <c r="D6" s="107"/>
      <c r="E6" s="107"/>
      <c r="F6" s="107"/>
      <c r="G6" s="107"/>
      <c r="H6" s="107"/>
      <c r="I6" s="107"/>
      <c r="J6" s="107"/>
      <c r="K6" s="81">
        <f t="shared" si="0"/>
        <v>0</v>
      </c>
    </row>
    <row r="7" spans="1:13" outlineLevel="1" x14ac:dyDescent="0.2">
      <c r="B7" s="14">
        <v>4</v>
      </c>
      <c r="C7" s="78">
        <f>$C$2-B7</f>
        <v>2013</v>
      </c>
      <c r="D7" s="107"/>
      <c r="E7" s="107"/>
      <c r="F7" s="107"/>
      <c r="G7" s="107"/>
      <c r="H7" s="107"/>
      <c r="I7" s="107"/>
      <c r="J7" s="107"/>
      <c r="K7" s="81">
        <f t="shared" si="0"/>
        <v>0</v>
      </c>
    </row>
    <row r="8" spans="1:13" outlineLevel="1" x14ac:dyDescent="0.2">
      <c r="B8" s="14">
        <v>5</v>
      </c>
      <c r="C8" s="78">
        <f>$C$2-B8</f>
        <v>2012</v>
      </c>
      <c r="D8" s="107"/>
      <c r="E8" s="107"/>
      <c r="F8" s="107"/>
      <c r="G8" s="107"/>
      <c r="H8" s="107"/>
      <c r="I8" s="107"/>
      <c r="J8" s="107"/>
      <c r="K8" s="81">
        <f t="shared" si="0"/>
        <v>0</v>
      </c>
    </row>
    <row r="9" spans="1:13" outlineLevel="1" x14ac:dyDescent="0.2">
      <c r="A9" s="82"/>
      <c r="B9" s="82">
        <v>6</v>
      </c>
      <c r="C9" s="83">
        <f>$C$2-B9</f>
        <v>2011</v>
      </c>
      <c r="D9" s="107"/>
      <c r="E9" s="107"/>
      <c r="F9" s="107"/>
      <c r="G9" s="107"/>
      <c r="H9" s="107"/>
      <c r="I9" s="107"/>
      <c r="J9" s="107"/>
      <c r="K9" s="81">
        <f t="shared" si="0"/>
        <v>0</v>
      </c>
    </row>
    <row r="10" spans="1:13" outlineLevel="1" x14ac:dyDescent="0.2">
      <c r="A10" s="78" t="s">
        <v>5</v>
      </c>
      <c r="B10" s="14">
        <v>0</v>
      </c>
      <c r="C10" s="78">
        <f t="shared" ref="C10" si="1">$C$2-B10</f>
        <v>2017</v>
      </c>
      <c r="D10" s="107"/>
      <c r="E10" s="107"/>
      <c r="F10" s="107"/>
      <c r="G10" s="107"/>
      <c r="H10" s="107"/>
      <c r="I10" s="107"/>
      <c r="J10" s="107"/>
      <c r="K10" s="81">
        <f t="shared" si="0"/>
        <v>0</v>
      </c>
    </row>
    <row r="11" spans="1:13" outlineLevel="1" x14ac:dyDescent="0.2">
      <c r="A11" s="78"/>
      <c r="B11" s="14">
        <v>1</v>
      </c>
      <c r="C11" s="78" t="str">
        <f>$C$2-B11&amp;" etter 1.12."</f>
        <v>2016 etter 1.12.</v>
      </c>
      <c r="D11" s="107"/>
      <c r="E11" s="107"/>
      <c r="F11" s="107"/>
      <c r="G11" s="107"/>
      <c r="H11" s="107"/>
      <c r="I11" s="107"/>
      <c r="J11" s="107"/>
      <c r="K11" s="81">
        <f t="shared" si="0"/>
        <v>0</v>
      </c>
    </row>
    <row r="12" spans="1:13" outlineLevel="1" x14ac:dyDescent="0.2">
      <c r="A12" s="78"/>
      <c r="B12" s="14">
        <v>1</v>
      </c>
      <c r="C12" s="78" t="str">
        <f>$C$2-B12&amp;" før 1.12."</f>
        <v>2016 før 1.12.</v>
      </c>
      <c r="D12" s="107"/>
      <c r="E12" s="107"/>
      <c r="F12" s="107"/>
      <c r="G12" s="107"/>
      <c r="H12" s="107"/>
      <c r="I12" s="107"/>
      <c r="J12" s="107"/>
      <c r="K12" s="81"/>
    </row>
    <row r="13" spans="1:13" outlineLevel="1" x14ac:dyDescent="0.2">
      <c r="B13" s="14">
        <v>2</v>
      </c>
      <c r="C13" s="78">
        <f>$C$2-B13</f>
        <v>2015</v>
      </c>
      <c r="D13" s="107"/>
      <c r="E13" s="107"/>
      <c r="F13" s="107"/>
      <c r="G13" s="107"/>
      <c r="H13" s="107"/>
      <c r="I13" s="107"/>
      <c r="J13" s="107"/>
      <c r="K13" s="81">
        <f t="shared" si="0"/>
        <v>0</v>
      </c>
    </row>
    <row r="14" spans="1:13" outlineLevel="1" x14ac:dyDescent="0.2">
      <c r="B14" s="14">
        <v>3</v>
      </c>
      <c r="C14" s="78">
        <f>$C$2-B14</f>
        <v>2014</v>
      </c>
      <c r="D14" s="107"/>
      <c r="E14" s="107"/>
      <c r="F14" s="107"/>
      <c r="G14" s="107"/>
      <c r="H14" s="107"/>
      <c r="I14" s="107"/>
      <c r="J14" s="107"/>
      <c r="K14" s="81">
        <f t="shared" si="0"/>
        <v>0</v>
      </c>
    </row>
    <row r="15" spans="1:13" outlineLevel="1" x14ac:dyDescent="0.2">
      <c r="B15" s="14">
        <v>4</v>
      </c>
      <c r="C15" s="78">
        <f>$C$2-B15</f>
        <v>2013</v>
      </c>
      <c r="D15" s="107"/>
      <c r="E15" s="107"/>
      <c r="F15" s="107"/>
      <c r="G15" s="107"/>
      <c r="H15" s="107"/>
      <c r="I15" s="107"/>
      <c r="J15" s="107"/>
      <c r="K15" s="81">
        <f t="shared" si="0"/>
        <v>0</v>
      </c>
    </row>
    <row r="16" spans="1:13" outlineLevel="1" x14ac:dyDescent="0.2">
      <c r="B16" s="14">
        <v>5</v>
      </c>
      <c r="C16" s="78">
        <f>$C$2-B16</f>
        <v>2012</v>
      </c>
      <c r="D16" s="107"/>
      <c r="E16" s="107"/>
      <c r="F16" s="107"/>
      <c r="G16" s="107"/>
      <c r="H16" s="107"/>
      <c r="I16" s="107"/>
      <c r="J16" s="107"/>
      <c r="K16" s="81">
        <f t="shared" si="0"/>
        <v>0</v>
      </c>
    </row>
    <row r="17" spans="1:11" outlineLevel="1" x14ac:dyDescent="0.2">
      <c r="A17" s="82"/>
      <c r="B17" s="82">
        <v>6</v>
      </c>
      <c r="C17" s="83">
        <f>$C$2-B17</f>
        <v>2011</v>
      </c>
      <c r="D17" s="107"/>
      <c r="E17" s="107"/>
      <c r="F17" s="107"/>
      <c r="G17" s="107"/>
      <c r="H17" s="107"/>
      <c r="I17" s="107"/>
      <c r="J17" s="107"/>
      <c r="K17" s="81">
        <f t="shared" si="0"/>
        <v>0</v>
      </c>
    </row>
    <row r="18" spans="1:11" outlineLevel="1" x14ac:dyDescent="0.2">
      <c r="A18" s="78" t="s">
        <v>6</v>
      </c>
      <c r="B18" s="14">
        <v>0</v>
      </c>
      <c r="C18" s="78">
        <f t="shared" ref="C18" si="2">$C$2-B18</f>
        <v>2017</v>
      </c>
      <c r="D18" s="107"/>
      <c r="E18" s="107"/>
      <c r="F18" s="107"/>
      <c r="G18" s="107"/>
      <c r="H18" s="107"/>
      <c r="I18" s="107"/>
      <c r="J18" s="107"/>
      <c r="K18" s="81">
        <f t="shared" si="0"/>
        <v>0</v>
      </c>
    </row>
    <row r="19" spans="1:11" outlineLevel="1" x14ac:dyDescent="0.2">
      <c r="B19" s="14">
        <v>1</v>
      </c>
      <c r="C19" s="78" t="str">
        <f>$C$2-B19&amp;" etter 1.12."</f>
        <v>2016 etter 1.12.</v>
      </c>
      <c r="D19" s="107"/>
      <c r="E19" s="107"/>
      <c r="F19" s="107"/>
      <c r="G19" s="107"/>
      <c r="H19" s="107"/>
      <c r="I19" s="107"/>
      <c r="J19" s="107"/>
      <c r="K19" s="81">
        <f t="shared" si="0"/>
        <v>0</v>
      </c>
    </row>
    <row r="20" spans="1:11" outlineLevel="1" x14ac:dyDescent="0.2">
      <c r="B20" s="14">
        <v>1</v>
      </c>
      <c r="C20" s="78" t="str">
        <f>$C$2-B20&amp;" før 1.12."</f>
        <v>2016 før 1.12.</v>
      </c>
      <c r="D20" s="107"/>
      <c r="E20" s="107"/>
      <c r="F20" s="107"/>
      <c r="G20" s="107"/>
      <c r="H20" s="107"/>
      <c r="I20" s="107"/>
      <c r="J20" s="107"/>
      <c r="K20" s="81"/>
    </row>
    <row r="21" spans="1:11" outlineLevel="1" x14ac:dyDescent="0.2">
      <c r="B21" s="14">
        <v>2</v>
      </c>
      <c r="C21" s="78">
        <f>$C$2-B21</f>
        <v>2015</v>
      </c>
      <c r="D21" s="107"/>
      <c r="E21" s="107"/>
      <c r="F21" s="107"/>
      <c r="G21" s="107"/>
      <c r="H21" s="107"/>
      <c r="I21" s="107"/>
      <c r="J21" s="107"/>
      <c r="K21" s="81">
        <f t="shared" si="0"/>
        <v>0</v>
      </c>
    </row>
    <row r="22" spans="1:11" outlineLevel="1" x14ac:dyDescent="0.2">
      <c r="B22" s="14">
        <v>3</v>
      </c>
      <c r="C22" s="78">
        <f>$C$2-B22</f>
        <v>2014</v>
      </c>
      <c r="D22" s="107"/>
      <c r="E22" s="107"/>
      <c r="F22" s="107"/>
      <c r="G22" s="107"/>
      <c r="H22" s="107"/>
      <c r="I22" s="107">
        <v>1</v>
      </c>
      <c r="J22" s="107"/>
      <c r="K22" s="81">
        <f t="shared" si="0"/>
        <v>1</v>
      </c>
    </row>
    <row r="23" spans="1:11" outlineLevel="1" x14ac:dyDescent="0.2">
      <c r="B23" s="14">
        <v>4</v>
      </c>
      <c r="C23" s="78">
        <f>$C$2-B23</f>
        <v>2013</v>
      </c>
      <c r="D23" s="107"/>
      <c r="E23" s="107"/>
      <c r="F23" s="107">
        <v>3</v>
      </c>
      <c r="G23" s="107"/>
      <c r="H23" s="107"/>
      <c r="I23" s="107"/>
      <c r="J23" s="107"/>
      <c r="K23" s="81">
        <f t="shared" si="0"/>
        <v>3</v>
      </c>
    </row>
    <row r="24" spans="1:11" outlineLevel="1" x14ac:dyDescent="0.2">
      <c r="B24" s="14">
        <v>5</v>
      </c>
      <c r="C24" s="78">
        <f>$C$2-B24</f>
        <v>2012</v>
      </c>
      <c r="D24" s="107"/>
      <c r="E24" s="107"/>
      <c r="F24" s="107">
        <v>1</v>
      </c>
      <c r="G24" s="107"/>
      <c r="H24" s="107"/>
      <c r="I24" s="107"/>
      <c r="J24" s="107"/>
      <c r="K24" s="81">
        <f t="shared" si="0"/>
        <v>1</v>
      </c>
    </row>
    <row r="25" spans="1:11" outlineLevel="1" x14ac:dyDescent="0.2">
      <c r="A25" s="82"/>
      <c r="B25" s="82">
        <v>6</v>
      </c>
      <c r="C25" s="83">
        <f>$C$2-B25</f>
        <v>2011</v>
      </c>
      <c r="D25" s="107"/>
      <c r="E25" s="107"/>
      <c r="F25" s="107"/>
      <c r="G25" s="107"/>
      <c r="H25" s="107"/>
      <c r="I25" s="107"/>
      <c r="J25" s="107"/>
      <c r="K25" s="81">
        <f t="shared" si="0"/>
        <v>0</v>
      </c>
    </row>
    <row r="26" spans="1:11" outlineLevel="1" x14ac:dyDescent="0.2">
      <c r="A26" s="78" t="s">
        <v>7</v>
      </c>
      <c r="B26" s="14">
        <v>0</v>
      </c>
      <c r="C26" s="78">
        <f t="shared" ref="C26" si="3">$C$2-B26</f>
        <v>2017</v>
      </c>
      <c r="D26" s="107"/>
      <c r="E26" s="107"/>
      <c r="F26" s="107"/>
      <c r="G26" s="107"/>
      <c r="H26" s="107"/>
      <c r="I26" s="107"/>
      <c r="J26" s="107"/>
      <c r="K26" s="81">
        <f t="shared" si="0"/>
        <v>0</v>
      </c>
    </row>
    <row r="27" spans="1:11" outlineLevel="1" x14ac:dyDescent="0.2">
      <c r="B27" s="14">
        <v>1</v>
      </c>
      <c r="C27" s="78" t="str">
        <f>$C$2-B27&amp;" etter 1.12."</f>
        <v>2016 etter 1.12.</v>
      </c>
      <c r="D27" s="107"/>
      <c r="E27" s="107"/>
      <c r="F27" s="107">
        <v>1</v>
      </c>
      <c r="G27" s="107"/>
      <c r="H27" s="107"/>
      <c r="I27" s="107"/>
      <c r="J27" s="107">
        <v>1</v>
      </c>
      <c r="K27" s="81">
        <f t="shared" si="0"/>
        <v>2</v>
      </c>
    </row>
    <row r="28" spans="1:11" outlineLevel="1" x14ac:dyDescent="0.2">
      <c r="B28" s="14">
        <v>1</v>
      </c>
      <c r="C28" s="78" t="str">
        <f>$C$2-B28&amp;" før 1.12."</f>
        <v>2016 før 1.12.</v>
      </c>
      <c r="D28" s="107"/>
      <c r="E28" s="107"/>
      <c r="F28" s="107"/>
      <c r="G28" s="107"/>
      <c r="H28" s="107"/>
      <c r="I28" s="107"/>
      <c r="J28" s="107"/>
      <c r="K28" s="81"/>
    </row>
    <row r="29" spans="1:11" outlineLevel="1" x14ac:dyDescent="0.2">
      <c r="B29" s="14">
        <v>2</v>
      </c>
      <c r="C29" s="78">
        <f>$C$2-B29</f>
        <v>2015</v>
      </c>
      <c r="D29" s="107"/>
      <c r="E29" s="107"/>
      <c r="F29" s="107">
        <v>1</v>
      </c>
      <c r="G29" s="107"/>
      <c r="H29" s="107"/>
      <c r="I29" s="107"/>
      <c r="J29" s="107">
        <v>1</v>
      </c>
      <c r="K29" s="81">
        <f t="shared" si="0"/>
        <v>2</v>
      </c>
    </row>
    <row r="30" spans="1:11" outlineLevel="1" x14ac:dyDescent="0.2">
      <c r="B30" s="14">
        <v>3</v>
      </c>
      <c r="C30" s="78">
        <f>$C$2-B30</f>
        <v>2014</v>
      </c>
      <c r="D30" s="107"/>
      <c r="E30" s="107"/>
      <c r="F30" s="107">
        <v>1</v>
      </c>
      <c r="G30" s="107"/>
      <c r="H30" s="107"/>
      <c r="I30" s="107"/>
      <c r="J30" s="107"/>
      <c r="K30" s="81">
        <f t="shared" si="0"/>
        <v>1</v>
      </c>
    </row>
    <row r="31" spans="1:11" outlineLevel="1" x14ac:dyDescent="0.2">
      <c r="B31" s="14">
        <v>4</v>
      </c>
      <c r="C31" s="78">
        <f>$C$2-B31</f>
        <v>2013</v>
      </c>
      <c r="D31" s="107"/>
      <c r="E31" s="107"/>
      <c r="F31" s="107"/>
      <c r="G31" s="107"/>
      <c r="H31" s="107"/>
      <c r="I31" s="107"/>
      <c r="J31" s="107"/>
      <c r="K31" s="81">
        <f t="shared" si="0"/>
        <v>0</v>
      </c>
    </row>
    <row r="32" spans="1:11" outlineLevel="1" x14ac:dyDescent="0.2">
      <c r="B32" s="14">
        <v>5</v>
      </c>
      <c r="C32" s="78">
        <f>$C$2-B32</f>
        <v>2012</v>
      </c>
      <c r="D32" s="107"/>
      <c r="E32" s="107"/>
      <c r="F32" s="107"/>
      <c r="G32" s="107"/>
      <c r="H32" s="107"/>
      <c r="I32" s="107"/>
      <c r="J32" s="107"/>
      <c r="K32" s="81">
        <f t="shared" si="0"/>
        <v>0</v>
      </c>
    </row>
    <row r="33" spans="1:11" outlineLevel="1" x14ac:dyDescent="0.2">
      <c r="A33" s="82"/>
      <c r="B33" s="82">
        <v>6</v>
      </c>
      <c r="C33" s="83">
        <f>$C$2-B33</f>
        <v>2011</v>
      </c>
      <c r="D33" s="107"/>
      <c r="E33" s="107"/>
      <c r="F33" s="107"/>
      <c r="G33" s="107"/>
      <c r="H33" s="107"/>
      <c r="I33" s="107"/>
      <c r="J33" s="107"/>
      <c r="K33" s="81">
        <f t="shared" si="0"/>
        <v>0</v>
      </c>
    </row>
    <row r="34" spans="1:11" outlineLevel="1" x14ac:dyDescent="0.2">
      <c r="A34" s="78" t="s">
        <v>8</v>
      </c>
      <c r="B34" s="14">
        <v>0</v>
      </c>
      <c r="C34" s="78">
        <f t="shared" ref="C34" si="4">$C$2-B34</f>
        <v>2017</v>
      </c>
      <c r="D34" s="107"/>
      <c r="E34" s="107"/>
      <c r="F34" s="107"/>
      <c r="G34" s="107"/>
      <c r="H34" s="107"/>
      <c r="I34" s="107"/>
      <c r="J34" s="107"/>
      <c r="K34" s="81">
        <f t="shared" si="0"/>
        <v>0</v>
      </c>
    </row>
    <row r="35" spans="1:11" outlineLevel="1" x14ac:dyDescent="0.2">
      <c r="B35" s="14">
        <v>1</v>
      </c>
      <c r="C35" s="78" t="str">
        <f>$C$2-B35&amp;" etter 1.12."</f>
        <v>2016 etter 1.12.</v>
      </c>
      <c r="D35" s="107"/>
      <c r="E35" s="107"/>
      <c r="F35" s="107"/>
      <c r="G35" s="107"/>
      <c r="H35" s="107"/>
      <c r="I35" s="107"/>
      <c r="J35" s="107"/>
      <c r="K35" s="81">
        <f t="shared" si="0"/>
        <v>0</v>
      </c>
    </row>
    <row r="36" spans="1:11" outlineLevel="1" x14ac:dyDescent="0.2">
      <c r="B36" s="14">
        <v>1</v>
      </c>
      <c r="C36" s="78" t="str">
        <f>$C$2-B36&amp;" før 1.12."</f>
        <v>2016 før 1.12.</v>
      </c>
      <c r="D36" s="107"/>
      <c r="E36" s="107"/>
      <c r="F36" s="107"/>
      <c r="G36" s="107"/>
      <c r="H36" s="107"/>
      <c r="I36" s="107"/>
      <c r="J36" s="107"/>
      <c r="K36" s="81"/>
    </row>
    <row r="37" spans="1:11" outlineLevel="1" x14ac:dyDescent="0.2">
      <c r="B37" s="14">
        <v>2</v>
      </c>
      <c r="C37" s="78">
        <f>$C$2-B37</f>
        <v>2015</v>
      </c>
      <c r="D37" s="107"/>
      <c r="E37" s="107"/>
      <c r="F37" s="107"/>
      <c r="G37" s="107"/>
      <c r="H37" s="107">
        <v>1</v>
      </c>
      <c r="I37" s="107"/>
      <c r="J37" s="107"/>
      <c r="K37" s="81">
        <f t="shared" si="0"/>
        <v>1</v>
      </c>
    </row>
    <row r="38" spans="1:11" outlineLevel="1" x14ac:dyDescent="0.2">
      <c r="B38" s="14">
        <v>3</v>
      </c>
      <c r="C38" s="78">
        <f>$C$2-B38</f>
        <v>2014</v>
      </c>
      <c r="D38" s="107"/>
      <c r="E38" s="107"/>
      <c r="F38" s="107"/>
      <c r="G38" s="107"/>
      <c r="H38" s="107"/>
      <c r="I38" s="107"/>
      <c r="J38" s="107">
        <v>1</v>
      </c>
      <c r="K38" s="81">
        <f t="shared" si="0"/>
        <v>1</v>
      </c>
    </row>
    <row r="39" spans="1:11" outlineLevel="1" x14ac:dyDescent="0.2">
      <c r="B39" s="14">
        <v>4</v>
      </c>
      <c r="C39" s="78">
        <f>$C$2-B39</f>
        <v>2013</v>
      </c>
      <c r="D39" s="107"/>
      <c r="E39" s="107">
        <v>1</v>
      </c>
      <c r="F39" s="107"/>
      <c r="G39" s="107"/>
      <c r="H39" s="107"/>
      <c r="I39" s="107"/>
      <c r="J39" s="107">
        <v>1</v>
      </c>
      <c r="K39" s="81">
        <f t="shared" si="0"/>
        <v>2</v>
      </c>
    </row>
    <row r="40" spans="1:11" outlineLevel="1" x14ac:dyDescent="0.2">
      <c r="B40" s="14">
        <v>5</v>
      </c>
      <c r="C40" s="78">
        <f>$C$2-B40</f>
        <v>2012</v>
      </c>
      <c r="D40" s="107"/>
      <c r="E40" s="107"/>
      <c r="F40" s="107">
        <v>2</v>
      </c>
      <c r="G40" s="107"/>
      <c r="H40" s="107"/>
      <c r="I40" s="107"/>
      <c r="J40" s="107"/>
      <c r="K40" s="81">
        <f t="shared" si="0"/>
        <v>2</v>
      </c>
    </row>
    <row r="41" spans="1:11" outlineLevel="1" x14ac:dyDescent="0.2">
      <c r="A41" s="82"/>
      <c r="B41" s="82">
        <v>6</v>
      </c>
      <c r="C41" s="83">
        <f>$C$2-B41</f>
        <v>2011</v>
      </c>
      <c r="D41" s="107"/>
      <c r="E41" s="107"/>
      <c r="F41" s="107"/>
      <c r="G41" s="107"/>
      <c r="H41" s="107"/>
      <c r="I41" s="107"/>
      <c r="J41" s="107"/>
      <c r="K41" s="81">
        <f t="shared" si="0"/>
        <v>0</v>
      </c>
    </row>
    <row r="42" spans="1:11" outlineLevel="1" x14ac:dyDescent="0.2">
      <c r="A42" s="83" t="s">
        <v>9</v>
      </c>
      <c r="B42" s="14">
        <v>0</v>
      </c>
      <c r="C42" s="78">
        <f t="shared" ref="C42" si="5">$C$2-B42</f>
        <v>2017</v>
      </c>
      <c r="D42" s="107"/>
      <c r="E42" s="107"/>
      <c r="F42" s="107"/>
      <c r="G42" s="107"/>
      <c r="H42" s="107"/>
      <c r="I42" s="107"/>
      <c r="J42" s="107"/>
      <c r="K42" s="81">
        <f t="shared" si="0"/>
        <v>0</v>
      </c>
    </row>
    <row r="43" spans="1:11" outlineLevel="1" x14ac:dyDescent="0.2">
      <c r="B43" s="14">
        <v>1</v>
      </c>
      <c r="C43" s="78" t="str">
        <f>$C$2-B43&amp;" etter 1.12."</f>
        <v>2016 etter 1.12.</v>
      </c>
      <c r="D43" s="107">
        <v>3</v>
      </c>
      <c r="E43" s="107">
        <v>2</v>
      </c>
      <c r="F43" s="107">
        <v>12</v>
      </c>
      <c r="G43" s="107">
        <v>8</v>
      </c>
      <c r="H43" s="107">
        <v>24</v>
      </c>
      <c r="I43" s="107">
        <v>16</v>
      </c>
      <c r="J43" s="107">
        <v>13</v>
      </c>
      <c r="K43" s="81">
        <f t="shared" si="0"/>
        <v>78</v>
      </c>
    </row>
    <row r="44" spans="1:11" outlineLevel="1" x14ac:dyDescent="0.2">
      <c r="B44" s="14">
        <v>1</v>
      </c>
      <c r="C44" s="78" t="str">
        <f>$C$2-B44&amp;" før 1.12."</f>
        <v>2016 før 1.12.</v>
      </c>
      <c r="D44" s="107"/>
      <c r="E44" s="107"/>
      <c r="F44" s="107"/>
      <c r="G44" s="107"/>
      <c r="H44" s="107"/>
      <c r="I44" s="107"/>
      <c r="J44" s="107"/>
      <c r="K44" s="81"/>
    </row>
    <row r="45" spans="1:11" outlineLevel="1" x14ac:dyDescent="0.2">
      <c r="B45" s="14">
        <v>2</v>
      </c>
      <c r="C45" s="78">
        <f>$C$2-B45</f>
        <v>2015</v>
      </c>
      <c r="D45" s="107">
        <v>5</v>
      </c>
      <c r="E45" s="107">
        <v>4</v>
      </c>
      <c r="F45" s="107">
        <v>19</v>
      </c>
      <c r="G45" s="107">
        <v>14</v>
      </c>
      <c r="H45" s="107">
        <v>15</v>
      </c>
      <c r="I45" s="107">
        <v>24</v>
      </c>
      <c r="J45" s="107">
        <v>11</v>
      </c>
      <c r="K45" s="81">
        <f t="shared" si="0"/>
        <v>92</v>
      </c>
    </row>
    <row r="46" spans="1:11" outlineLevel="1" x14ac:dyDescent="0.2">
      <c r="B46" s="14">
        <v>3</v>
      </c>
      <c r="C46" s="78">
        <f>$C$2-B46</f>
        <v>2014</v>
      </c>
      <c r="D46" s="107">
        <v>6</v>
      </c>
      <c r="E46" s="107">
        <v>9</v>
      </c>
      <c r="F46" s="107">
        <v>7</v>
      </c>
      <c r="G46" s="107">
        <v>10</v>
      </c>
      <c r="H46" s="107">
        <v>19</v>
      </c>
      <c r="I46" s="107">
        <v>18</v>
      </c>
      <c r="J46" s="107">
        <v>11</v>
      </c>
      <c r="K46" s="81">
        <f t="shared" si="0"/>
        <v>80</v>
      </c>
    </row>
    <row r="47" spans="1:11" outlineLevel="1" x14ac:dyDescent="0.2">
      <c r="B47" s="14">
        <v>4</v>
      </c>
      <c r="C47" s="78">
        <f>$C$2-B47</f>
        <v>2013</v>
      </c>
      <c r="D47" s="107">
        <v>11</v>
      </c>
      <c r="E47" s="107">
        <v>7</v>
      </c>
      <c r="F47" s="107">
        <v>9</v>
      </c>
      <c r="G47" s="107">
        <v>6</v>
      </c>
      <c r="H47" s="107">
        <v>17</v>
      </c>
      <c r="I47" s="107">
        <v>24</v>
      </c>
      <c r="J47" s="107">
        <v>13</v>
      </c>
      <c r="K47" s="81">
        <f t="shared" si="0"/>
        <v>87</v>
      </c>
    </row>
    <row r="48" spans="1:11" outlineLevel="1" x14ac:dyDescent="0.2">
      <c r="B48" s="14">
        <v>5</v>
      </c>
      <c r="C48" s="78">
        <f>$C$2-B48</f>
        <v>2012</v>
      </c>
      <c r="D48" s="107">
        <v>9</v>
      </c>
      <c r="E48" s="107">
        <v>11</v>
      </c>
      <c r="F48" s="107">
        <v>8</v>
      </c>
      <c r="G48" s="107">
        <v>8</v>
      </c>
      <c r="H48" s="107">
        <v>23</v>
      </c>
      <c r="I48" s="107">
        <v>19</v>
      </c>
      <c r="J48" s="107">
        <v>14</v>
      </c>
      <c r="K48" s="81">
        <f t="shared" si="0"/>
        <v>92</v>
      </c>
    </row>
    <row r="49" spans="1:11" outlineLevel="1" x14ac:dyDescent="0.2">
      <c r="A49" s="82"/>
      <c r="B49" s="82">
        <v>6</v>
      </c>
      <c r="C49" s="83">
        <f>$C$2-B49</f>
        <v>2011</v>
      </c>
      <c r="D49" s="107"/>
      <c r="E49" s="107"/>
      <c r="F49" s="107"/>
      <c r="G49" s="107"/>
      <c r="H49" s="107"/>
      <c r="I49" s="107">
        <v>1</v>
      </c>
      <c r="J49" s="107">
        <v>1</v>
      </c>
      <c r="K49" s="81">
        <f t="shared" si="0"/>
        <v>2</v>
      </c>
    </row>
    <row r="50" spans="1:11" ht="13.5" outlineLevel="1" thickBot="1" x14ac:dyDescent="0.25">
      <c r="A50" s="89"/>
      <c r="B50" s="89"/>
      <c r="C50" s="90" t="s">
        <v>0</v>
      </c>
      <c r="D50" s="89">
        <f t="shared" ref="D50:K50" si="6">SUM(D2:D49)</f>
        <v>34</v>
      </c>
      <c r="E50" s="89">
        <f t="shared" si="6"/>
        <v>34</v>
      </c>
      <c r="F50" s="89">
        <f t="shared" si="6"/>
        <v>64</v>
      </c>
      <c r="G50" s="89">
        <f t="shared" si="6"/>
        <v>46</v>
      </c>
      <c r="H50" s="89">
        <f t="shared" si="6"/>
        <v>99</v>
      </c>
      <c r="I50" s="89">
        <f t="shared" si="6"/>
        <v>103</v>
      </c>
      <c r="J50" s="89">
        <f t="shared" si="6"/>
        <v>67</v>
      </c>
      <c r="K50" s="89">
        <f t="shared" si="6"/>
        <v>447</v>
      </c>
    </row>
    <row r="51" spans="1:11" ht="13.5" outlineLevel="1" thickTop="1" x14ac:dyDescent="0.2">
      <c r="A51" s="87" t="s">
        <v>1</v>
      </c>
      <c r="B51" s="87"/>
      <c r="C51" s="86" t="s">
        <v>21</v>
      </c>
      <c r="D51" s="87" t="str">
        <f>D1</f>
        <v>Kom 1</v>
      </c>
      <c r="E51" s="87" t="str">
        <f t="shared" ref="E51:K51" si="7">E1</f>
        <v>Kom 2</v>
      </c>
      <c r="F51" s="87" t="str">
        <f t="shared" si="7"/>
        <v>Kom 3</v>
      </c>
      <c r="G51" s="87" t="str">
        <f t="shared" si="7"/>
        <v>Kom 4</v>
      </c>
      <c r="H51" s="87" t="str">
        <f t="shared" si="7"/>
        <v>Kom 5</v>
      </c>
      <c r="I51" s="87" t="str">
        <f t="shared" si="7"/>
        <v>Kom 6</v>
      </c>
      <c r="J51" s="87" t="str">
        <f t="shared" si="7"/>
        <v>Kom 7</v>
      </c>
      <c r="K51" s="87" t="str">
        <f t="shared" si="7"/>
        <v>Sum</v>
      </c>
    </row>
    <row r="52" spans="1:11" outlineLevel="1" x14ac:dyDescent="0.2">
      <c r="A52" s="78" t="s">
        <v>4</v>
      </c>
      <c r="B52" s="84"/>
      <c r="C52" s="88">
        <f>6/45</f>
        <v>0.13333333333333333</v>
      </c>
      <c r="D52" s="84">
        <f>SUM(D2:D5)</f>
        <v>0</v>
      </c>
      <c r="E52" s="84">
        <f t="shared" ref="E52:K52" si="8">SUM(E2:E5)</f>
        <v>0</v>
      </c>
      <c r="F52" s="84">
        <f t="shared" si="8"/>
        <v>0</v>
      </c>
      <c r="G52" s="84">
        <f t="shared" si="8"/>
        <v>0</v>
      </c>
      <c r="H52" s="84">
        <f t="shared" si="8"/>
        <v>0</v>
      </c>
      <c r="I52" s="84">
        <f t="shared" si="8"/>
        <v>0</v>
      </c>
      <c r="J52" s="84">
        <f t="shared" si="8"/>
        <v>0</v>
      </c>
      <c r="K52" s="84">
        <f t="shared" si="8"/>
        <v>0</v>
      </c>
    </row>
    <row r="53" spans="1:11" outlineLevel="1" x14ac:dyDescent="0.2">
      <c r="A53" s="78" t="s">
        <v>5</v>
      </c>
      <c r="B53" s="84"/>
      <c r="C53" s="88">
        <f>13/45</f>
        <v>0.28888888888888886</v>
      </c>
      <c r="D53" s="84">
        <f>SUM(D10:D13)</f>
        <v>0</v>
      </c>
      <c r="E53" s="84">
        <f t="shared" ref="E53:K53" si="9">SUM(E10:E13)</f>
        <v>0</v>
      </c>
      <c r="F53" s="84">
        <f t="shared" si="9"/>
        <v>0</v>
      </c>
      <c r="G53" s="84">
        <f t="shared" si="9"/>
        <v>0</v>
      </c>
      <c r="H53" s="84">
        <f t="shared" si="9"/>
        <v>0</v>
      </c>
      <c r="I53" s="84">
        <f t="shared" si="9"/>
        <v>0</v>
      </c>
      <c r="J53" s="84">
        <f t="shared" si="9"/>
        <v>0</v>
      </c>
      <c r="K53" s="84">
        <f t="shared" si="9"/>
        <v>0</v>
      </c>
    </row>
    <row r="54" spans="1:11" outlineLevel="1" x14ac:dyDescent="0.2">
      <c r="A54" s="78" t="s">
        <v>6</v>
      </c>
      <c r="B54" s="84"/>
      <c r="C54" s="88">
        <f>21/45</f>
        <v>0.46666666666666667</v>
      </c>
      <c r="D54" s="84">
        <f>SUM(D18:D21)</f>
        <v>0</v>
      </c>
      <c r="E54" s="84">
        <f t="shared" ref="E54:K54" si="10">SUM(E18:E21)</f>
        <v>0</v>
      </c>
      <c r="F54" s="84">
        <f t="shared" si="10"/>
        <v>0</v>
      </c>
      <c r="G54" s="84">
        <f t="shared" si="10"/>
        <v>0</v>
      </c>
      <c r="H54" s="84">
        <f t="shared" si="10"/>
        <v>0</v>
      </c>
      <c r="I54" s="84">
        <f t="shared" si="10"/>
        <v>0</v>
      </c>
      <c r="J54" s="84">
        <f t="shared" si="10"/>
        <v>0</v>
      </c>
      <c r="K54" s="84">
        <f t="shared" si="10"/>
        <v>0</v>
      </c>
    </row>
    <row r="55" spans="1:11" outlineLevel="1" x14ac:dyDescent="0.2">
      <c r="A55" s="78" t="s">
        <v>7</v>
      </c>
      <c r="B55" s="84"/>
      <c r="C55" s="88">
        <f>29/45</f>
        <v>0.64444444444444449</v>
      </c>
      <c r="D55" s="84">
        <f>SUM(D26:D29)</f>
        <v>0</v>
      </c>
      <c r="E55" s="84">
        <f t="shared" ref="E55:K55" si="11">SUM(E26:E29)</f>
        <v>0</v>
      </c>
      <c r="F55" s="84">
        <f t="shared" si="11"/>
        <v>2</v>
      </c>
      <c r="G55" s="84">
        <f t="shared" si="11"/>
        <v>0</v>
      </c>
      <c r="H55" s="84">
        <f t="shared" si="11"/>
        <v>0</v>
      </c>
      <c r="I55" s="84">
        <f t="shared" si="11"/>
        <v>0</v>
      </c>
      <c r="J55" s="84">
        <f t="shared" si="11"/>
        <v>2</v>
      </c>
      <c r="K55" s="84">
        <f t="shared" si="11"/>
        <v>4</v>
      </c>
    </row>
    <row r="56" spans="1:11" outlineLevel="1" x14ac:dyDescent="0.2">
      <c r="A56" s="78" t="s">
        <v>8</v>
      </c>
      <c r="B56" s="84"/>
      <c r="C56" s="88">
        <f>37/45</f>
        <v>0.82222222222222219</v>
      </c>
      <c r="D56" s="84">
        <f>SUM(D34:D37)</f>
        <v>0</v>
      </c>
      <c r="E56" s="84">
        <f t="shared" ref="E56:K56" si="12">SUM(E34:E37)</f>
        <v>0</v>
      </c>
      <c r="F56" s="84">
        <f t="shared" si="12"/>
        <v>0</v>
      </c>
      <c r="G56" s="84">
        <f t="shared" si="12"/>
        <v>0</v>
      </c>
      <c r="H56" s="84">
        <f t="shared" si="12"/>
        <v>1</v>
      </c>
      <c r="I56" s="84">
        <f t="shared" si="12"/>
        <v>0</v>
      </c>
      <c r="J56" s="84">
        <f t="shared" si="12"/>
        <v>0</v>
      </c>
      <c r="K56" s="84">
        <f t="shared" si="12"/>
        <v>1</v>
      </c>
    </row>
    <row r="57" spans="1:11" outlineLevel="1" x14ac:dyDescent="0.2">
      <c r="A57" s="85" t="s">
        <v>9</v>
      </c>
      <c r="B57" s="84"/>
      <c r="C57" s="88">
        <f>45/45</f>
        <v>1</v>
      </c>
      <c r="D57" s="84">
        <f>SUM(D42:D45)</f>
        <v>8</v>
      </c>
      <c r="E57" s="84">
        <f t="shared" ref="E57:K57" si="13">SUM(E42:E45)</f>
        <v>6</v>
      </c>
      <c r="F57" s="84">
        <f t="shared" si="13"/>
        <v>31</v>
      </c>
      <c r="G57" s="84">
        <f t="shared" si="13"/>
        <v>22</v>
      </c>
      <c r="H57" s="84">
        <f t="shared" si="13"/>
        <v>39</v>
      </c>
      <c r="I57" s="84">
        <f t="shared" si="13"/>
        <v>40</v>
      </c>
      <c r="J57" s="84">
        <f t="shared" si="13"/>
        <v>24</v>
      </c>
      <c r="K57" s="84">
        <f t="shared" si="13"/>
        <v>170</v>
      </c>
    </row>
    <row r="58" spans="1:11" ht="20.25" customHeight="1" outlineLevel="1" x14ac:dyDescent="0.2">
      <c r="A58" s="87" t="s">
        <v>10</v>
      </c>
      <c r="B58" s="84"/>
      <c r="C58" s="86"/>
      <c r="D58" s="84"/>
      <c r="E58" s="84"/>
      <c r="F58" s="84"/>
      <c r="G58" s="84"/>
      <c r="H58" s="84"/>
      <c r="I58" s="84"/>
      <c r="J58" s="84"/>
      <c r="K58" s="79"/>
    </row>
    <row r="59" spans="1:11" outlineLevel="1" x14ac:dyDescent="0.2">
      <c r="A59" s="78" t="s">
        <v>4</v>
      </c>
      <c r="B59" s="84"/>
      <c r="C59" s="88">
        <f>6/45</f>
        <v>0.13333333333333333</v>
      </c>
      <c r="D59" s="84">
        <f>SUM(D6:D9)</f>
        <v>0</v>
      </c>
      <c r="E59" s="84">
        <f t="shared" ref="E59:K59" si="14">SUM(E6:E9)</f>
        <v>0</v>
      </c>
      <c r="F59" s="84">
        <f t="shared" si="14"/>
        <v>0</v>
      </c>
      <c r="G59" s="84">
        <f t="shared" si="14"/>
        <v>0</v>
      </c>
      <c r="H59" s="84">
        <f t="shared" si="14"/>
        <v>0</v>
      </c>
      <c r="I59" s="84">
        <f t="shared" si="14"/>
        <v>0</v>
      </c>
      <c r="J59" s="84">
        <f t="shared" si="14"/>
        <v>0</v>
      </c>
      <c r="K59" s="84">
        <f t="shared" si="14"/>
        <v>0</v>
      </c>
    </row>
    <row r="60" spans="1:11" outlineLevel="1" x14ac:dyDescent="0.2">
      <c r="A60" s="78" t="s">
        <v>5</v>
      </c>
      <c r="B60" s="84"/>
      <c r="C60" s="88">
        <f>13/45</f>
        <v>0.28888888888888886</v>
      </c>
      <c r="D60" s="84">
        <f>SUM(D14:D17)</f>
        <v>0</v>
      </c>
      <c r="E60" s="84">
        <f t="shared" ref="E60:K60" si="15">SUM(E14:E17)</f>
        <v>0</v>
      </c>
      <c r="F60" s="84">
        <f t="shared" si="15"/>
        <v>0</v>
      </c>
      <c r="G60" s="84">
        <f t="shared" si="15"/>
        <v>0</v>
      </c>
      <c r="H60" s="84">
        <f t="shared" si="15"/>
        <v>0</v>
      </c>
      <c r="I60" s="84">
        <f t="shared" si="15"/>
        <v>0</v>
      </c>
      <c r="J60" s="84">
        <f t="shared" si="15"/>
        <v>0</v>
      </c>
      <c r="K60" s="84">
        <f t="shared" si="15"/>
        <v>0</v>
      </c>
    </row>
    <row r="61" spans="1:11" outlineLevel="1" x14ac:dyDescent="0.2">
      <c r="A61" s="78" t="s">
        <v>6</v>
      </c>
      <c r="B61" s="84"/>
      <c r="C61" s="88">
        <f>21/45</f>
        <v>0.46666666666666667</v>
      </c>
      <c r="D61" s="84">
        <f>SUM(D22:D25)</f>
        <v>0</v>
      </c>
      <c r="E61" s="84">
        <f t="shared" ref="E61:K61" si="16">SUM(E22:E25)</f>
        <v>0</v>
      </c>
      <c r="F61" s="84">
        <f t="shared" si="16"/>
        <v>4</v>
      </c>
      <c r="G61" s="84">
        <f t="shared" si="16"/>
        <v>0</v>
      </c>
      <c r="H61" s="84">
        <f t="shared" si="16"/>
        <v>0</v>
      </c>
      <c r="I61" s="84">
        <f t="shared" si="16"/>
        <v>1</v>
      </c>
      <c r="J61" s="84">
        <f t="shared" si="16"/>
        <v>0</v>
      </c>
      <c r="K61" s="84">
        <f t="shared" si="16"/>
        <v>5</v>
      </c>
    </row>
    <row r="62" spans="1:11" outlineLevel="1" x14ac:dyDescent="0.2">
      <c r="A62" s="78" t="s">
        <v>7</v>
      </c>
      <c r="B62" s="84"/>
      <c r="C62" s="88">
        <f>29/45</f>
        <v>0.64444444444444449</v>
      </c>
      <c r="D62" s="84">
        <f>SUM(D30:D33)</f>
        <v>0</v>
      </c>
      <c r="E62" s="84">
        <f t="shared" ref="E62:K62" si="17">SUM(E30:E33)</f>
        <v>0</v>
      </c>
      <c r="F62" s="84">
        <f t="shared" si="17"/>
        <v>1</v>
      </c>
      <c r="G62" s="84">
        <f t="shared" si="17"/>
        <v>0</v>
      </c>
      <c r="H62" s="84">
        <f t="shared" si="17"/>
        <v>0</v>
      </c>
      <c r="I62" s="84">
        <f t="shared" si="17"/>
        <v>0</v>
      </c>
      <c r="J62" s="84">
        <f t="shared" si="17"/>
        <v>0</v>
      </c>
      <c r="K62" s="84">
        <f t="shared" si="17"/>
        <v>1</v>
      </c>
    </row>
    <row r="63" spans="1:11" outlineLevel="1" x14ac:dyDescent="0.2">
      <c r="A63" s="78" t="s">
        <v>8</v>
      </c>
      <c r="B63" s="84"/>
      <c r="C63" s="88">
        <f>37/45</f>
        <v>0.82222222222222219</v>
      </c>
      <c r="D63" s="84">
        <f>SUM(D38:D41)</f>
        <v>0</v>
      </c>
      <c r="E63" s="84">
        <f t="shared" ref="E63:K63" si="18">SUM(E38:E41)</f>
        <v>1</v>
      </c>
      <c r="F63" s="84">
        <f t="shared" si="18"/>
        <v>2</v>
      </c>
      <c r="G63" s="84">
        <f t="shared" si="18"/>
        <v>0</v>
      </c>
      <c r="H63" s="84">
        <f t="shared" si="18"/>
        <v>0</v>
      </c>
      <c r="I63" s="84">
        <f t="shared" si="18"/>
        <v>0</v>
      </c>
      <c r="J63" s="84">
        <f t="shared" si="18"/>
        <v>2</v>
      </c>
      <c r="K63" s="84">
        <f t="shared" si="18"/>
        <v>5</v>
      </c>
    </row>
    <row r="64" spans="1:11" outlineLevel="1" x14ac:dyDescent="0.2">
      <c r="A64" s="85" t="s">
        <v>9</v>
      </c>
      <c r="B64" s="84"/>
      <c r="C64" s="88">
        <f>45/45</f>
        <v>1</v>
      </c>
      <c r="D64" s="84">
        <f>SUM(D46:D49)</f>
        <v>26</v>
      </c>
      <c r="E64" s="84">
        <f t="shared" ref="E64:K64" si="19">SUM(E46:E49)</f>
        <v>27</v>
      </c>
      <c r="F64" s="84">
        <f t="shared" si="19"/>
        <v>24</v>
      </c>
      <c r="G64" s="84">
        <f t="shared" si="19"/>
        <v>24</v>
      </c>
      <c r="H64" s="84">
        <f t="shared" si="19"/>
        <v>59</v>
      </c>
      <c r="I64" s="84">
        <f t="shared" si="19"/>
        <v>62</v>
      </c>
      <c r="J64" s="84">
        <f t="shared" si="19"/>
        <v>39</v>
      </c>
      <c r="K64" s="84">
        <f t="shared" si="19"/>
        <v>261</v>
      </c>
    </row>
    <row r="65" spans="1:11" ht="20.25" customHeight="1" x14ac:dyDescent="0.2">
      <c r="A65" s="78" t="s">
        <v>1</v>
      </c>
      <c r="C65" s="78"/>
      <c r="D65" s="14">
        <f>SUM(D52:D57)</f>
        <v>8</v>
      </c>
      <c r="E65" s="14">
        <f t="shared" ref="E65:J65" si="20">SUM(E52:E57)</f>
        <v>6</v>
      </c>
      <c r="F65" s="14">
        <f t="shared" si="20"/>
        <v>33</v>
      </c>
      <c r="G65" s="14">
        <f t="shared" si="20"/>
        <v>22</v>
      </c>
      <c r="H65" s="14">
        <f t="shared" si="20"/>
        <v>40</v>
      </c>
      <c r="I65" s="14">
        <f t="shared" si="20"/>
        <v>40</v>
      </c>
      <c r="J65" s="14">
        <f t="shared" si="20"/>
        <v>26</v>
      </c>
      <c r="K65" s="79">
        <f t="shared" ref="K65:K71" si="21">SUM(D65:J65)</f>
        <v>175</v>
      </c>
    </row>
    <row r="66" spans="1:11" x14ac:dyDescent="0.2">
      <c r="A66" s="78" t="s">
        <v>10</v>
      </c>
      <c r="C66" s="78"/>
      <c r="D66" s="14">
        <f>SUM(D59:D64)</f>
        <v>26</v>
      </c>
      <c r="E66" s="14">
        <f t="shared" ref="E66:J66" si="22">SUM(E59:E64)</f>
        <v>28</v>
      </c>
      <c r="F66" s="14">
        <f t="shared" si="22"/>
        <v>31</v>
      </c>
      <c r="G66" s="14">
        <f t="shared" si="22"/>
        <v>24</v>
      </c>
      <c r="H66" s="14">
        <f t="shared" si="22"/>
        <v>59</v>
      </c>
      <c r="I66" s="14">
        <f t="shared" si="22"/>
        <v>63</v>
      </c>
      <c r="J66" s="14">
        <f t="shared" si="22"/>
        <v>41</v>
      </c>
      <c r="K66" s="79">
        <f t="shared" si="21"/>
        <v>272</v>
      </c>
    </row>
    <row r="67" spans="1:11" ht="13.5" thickBot="1" x14ac:dyDescent="0.25">
      <c r="A67" s="90" t="s">
        <v>19</v>
      </c>
      <c r="B67" s="89"/>
      <c r="C67" s="90"/>
      <c r="D67" s="89">
        <f t="shared" ref="D67:J67" si="23">SUM(D65:D66)</f>
        <v>34</v>
      </c>
      <c r="E67" s="89">
        <f t="shared" si="23"/>
        <v>34</v>
      </c>
      <c r="F67" s="89">
        <f t="shared" si="23"/>
        <v>64</v>
      </c>
      <c r="G67" s="89">
        <f t="shared" si="23"/>
        <v>46</v>
      </c>
      <c r="H67" s="89">
        <f t="shared" si="23"/>
        <v>99</v>
      </c>
      <c r="I67" s="89">
        <f t="shared" si="23"/>
        <v>103</v>
      </c>
      <c r="J67" s="89">
        <f t="shared" si="23"/>
        <v>67</v>
      </c>
      <c r="K67" s="91">
        <f t="shared" si="21"/>
        <v>447</v>
      </c>
    </row>
    <row r="68" spans="1:11" ht="13.5" thickTop="1" x14ac:dyDescent="0.2">
      <c r="K68" s="81"/>
    </row>
    <row r="69" spans="1:11" x14ac:dyDescent="0.2">
      <c r="A69" s="78" t="s">
        <v>22</v>
      </c>
      <c r="C69" s="78"/>
      <c r="D69" s="92">
        <f t="shared" ref="D69:J69" si="24">SUMPRODUCT(D52:D57,$C$52:$C$57)</f>
        <v>8</v>
      </c>
      <c r="E69" s="92">
        <f t="shared" si="24"/>
        <v>6</v>
      </c>
      <c r="F69" s="92">
        <f t="shared" si="24"/>
        <v>32.288888888888891</v>
      </c>
      <c r="G69" s="92">
        <f t="shared" si="24"/>
        <v>22</v>
      </c>
      <c r="H69" s="92">
        <f t="shared" si="24"/>
        <v>39.822222222222223</v>
      </c>
      <c r="I69" s="92">
        <f t="shared" si="24"/>
        <v>40</v>
      </c>
      <c r="J69" s="92">
        <f t="shared" si="24"/>
        <v>25.288888888888888</v>
      </c>
      <c r="K69" s="92">
        <f t="shared" si="21"/>
        <v>173.4</v>
      </c>
    </row>
    <row r="70" spans="1:11" x14ac:dyDescent="0.2">
      <c r="A70" s="78" t="s">
        <v>23</v>
      </c>
      <c r="C70" s="78"/>
      <c r="D70" s="92">
        <f t="shared" ref="D70:J70" si="25">SUMPRODUCT(D59:D64,$C$59:$C$64)</f>
        <v>26</v>
      </c>
      <c r="E70" s="92">
        <f t="shared" si="25"/>
        <v>27.822222222222223</v>
      </c>
      <c r="F70" s="92">
        <f t="shared" si="25"/>
        <v>28.155555555555555</v>
      </c>
      <c r="G70" s="92">
        <f t="shared" si="25"/>
        <v>24</v>
      </c>
      <c r="H70" s="92">
        <f t="shared" si="25"/>
        <v>59</v>
      </c>
      <c r="I70" s="92">
        <f t="shared" si="25"/>
        <v>62.466666666666669</v>
      </c>
      <c r="J70" s="92">
        <f t="shared" si="25"/>
        <v>40.644444444444446</v>
      </c>
      <c r="K70" s="92">
        <f t="shared" si="21"/>
        <v>268.08888888888885</v>
      </c>
    </row>
    <row r="71" spans="1:11" ht="13.5" thickBot="1" x14ac:dyDescent="0.25">
      <c r="A71" s="90" t="s">
        <v>24</v>
      </c>
      <c r="B71" s="89"/>
      <c r="C71" s="90"/>
      <c r="D71" s="93">
        <f t="shared" ref="D71:J71" si="26">SUM(D69:D70)</f>
        <v>34</v>
      </c>
      <c r="E71" s="93">
        <f t="shared" si="26"/>
        <v>33.822222222222223</v>
      </c>
      <c r="F71" s="93">
        <f t="shared" si="26"/>
        <v>60.444444444444443</v>
      </c>
      <c r="G71" s="93">
        <f t="shared" si="26"/>
        <v>46</v>
      </c>
      <c r="H71" s="93">
        <f t="shared" si="26"/>
        <v>98.822222222222223</v>
      </c>
      <c r="I71" s="93">
        <f t="shared" si="26"/>
        <v>102.46666666666667</v>
      </c>
      <c r="J71" s="93">
        <f t="shared" si="26"/>
        <v>65.933333333333337</v>
      </c>
      <c r="K71" s="94">
        <f t="shared" si="21"/>
        <v>441.48888888888888</v>
      </c>
    </row>
    <row r="72" spans="1:11" ht="13.5" thickTop="1" x14ac:dyDescent="0.2">
      <c r="D72" s="95"/>
      <c r="E72" s="95"/>
      <c r="F72" s="95"/>
      <c r="G72" s="95"/>
      <c r="H72" s="95"/>
      <c r="I72" s="95"/>
      <c r="J72" s="95"/>
      <c r="K72" s="95"/>
    </row>
    <row r="73" spans="1:11" ht="13.5" thickBot="1" x14ac:dyDescent="0.25">
      <c r="A73" s="90" t="s">
        <v>134</v>
      </c>
      <c r="B73" s="89"/>
      <c r="C73" s="90"/>
      <c r="D73" s="93">
        <f>D2+D3+D10+D11+D18+D19+D26+D27+D34+D35+D42+D43</f>
        <v>3</v>
      </c>
      <c r="E73" s="93">
        <f t="shared" ref="E73:K73" si="27">E2+E3+E10+E11+E18+E19+E26+E27+E34+E35+E42+E43</f>
        <v>2</v>
      </c>
      <c r="F73" s="93">
        <f t="shared" si="27"/>
        <v>13</v>
      </c>
      <c r="G73" s="93">
        <f t="shared" si="27"/>
        <v>8</v>
      </c>
      <c r="H73" s="93">
        <f t="shared" si="27"/>
        <v>24</v>
      </c>
      <c r="I73" s="93">
        <f t="shared" si="27"/>
        <v>16</v>
      </c>
      <c r="J73" s="93">
        <f t="shared" si="27"/>
        <v>14</v>
      </c>
      <c r="K73" s="93">
        <f t="shared" si="27"/>
        <v>80</v>
      </c>
    </row>
    <row r="74" spans="1:11" ht="23.65" customHeight="1" thickTop="1" x14ac:dyDescent="0.2">
      <c r="A74" s="96" t="s">
        <v>44</v>
      </c>
      <c r="C74" s="96"/>
      <c r="D74" s="7"/>
      <c r="E74" s="7"/>
      <c r="F74" s="7"/>
      <c r="G74" s="7"/>
      <c r="H74" s="7"/>
      <c r="I74" s="7"/>
      <c r="J74" s="7"/>
    </row>
    <row r="75" spans="1:11" x14ac:dyDescent="0.2">
      <c r="A75" s="7" t="s">
        <v>26</v>
      </c>
      <c r="C75" s="7"/>
      <c r="D75" s="280">
        <v>1</v>
      </c>
      <c r="E75" s="280">
        <v>1</v>
      </c>
      <c r="F75" s="280">
        <v>1</v>
      </c>
      <c r="G75" s="280">
        <v>1</v>
      </c>
      <c r="H75" s="280">
        <v>1.5</v>
      </c>
      <c r="I75" s="280">
        <v>1.5</v>
      </c>
      <c r="J75" s="280">
        <v>1</v>
      </c>
      <c r="K75" s="97">
        <f>SUM(D75:J75)</f>
        <v>8</v>
      </c>
    </row>
    <row r="76" spans="1:11" x14ac:dyDescent="0.2">
      <c r="A76" s="7" t="s">
        <v>27</v>
      </c>
      <c r="C76" s="7"/>
      <c r="D76" s="280">
        <v>2</v>
      </c>
      <c r="E76" s="280">
        <v>2</v>
      </c>
      <c r="F76" s="280">
        <v>5.8</v>
      </c>
      <c r="G76" s="280">
        <v>4</v>
      </c>
      <c r="H76" s="280">
        <v>8</v>
      </c>
      <c r="I76" s="280">
        <v>8</v>
      </c>
      <c r="J76" s="280">
        <v>5</v>
      </c>
      <c r="K76" s="97">
        <f>SUM(D76:J76)</f>
        <v>34.799999999999997</v>
      </c>
    </row>
    <row r="77" spans="1:11" x14ac:dyDescent="0.2">
      <c r="A77" s="7" t="s">
        <v>135</v>
      </c>
      <c r="C77" s="7"/>
      <c r="D77" s="280"/>
      <c r="E77" s="280"/>
      <c r="F77" s="280"/>
      <c r="G77" s="280"/>
      <c r="H77" s="280"/>
      <c r="I77" s="280"/>
      <c r="J77" s="280"/>
      <c r="K77" s="97">
        <f>SUM(D77:J77)</f>
        <v>0</v>
      </c>
    </row>
    <row r="78" spans="1:11" x14ac:dyDescent="0.2">
      <c r="A78" s="7" t="s">
        <v>136</v>
      </c>
      <c r="C78" s="7"/>
      <c r="D78" s="280"/>
      <c r="E78" s="280"/>
      <c r="F78" s="280"/>
      <c r="G78" s="280"/>
      <c r="H78" s="280"/>
      <c r="I78" s="280"/>
      <c r="J78" s="280"/>
      <c r="K78" s="97">
        <f>SUM(D78:J78)</f>
        <v>0</v>
      </c>
    </row>
    <row r="79" spans="1:11" x14ac:dyDescent="0.2">
      <c r="A79" s="7" t="s">
        <v>137</v>
      </c>
      <c r="C79" s="7"/>
      <c r="D79" s="280">
        <v>4</v>
      </c>
      <c r="E79" s="280">
        <v>4</v>
      </c>
      <c r="F79" s="280">
        <v>9.6</v>
      </c>
      <c r="G79" s="280">
        <v>8</v>
      </c>
      <c r="H79" s="280">
        <v>14</v>
      </c>
      <c r="I79" s="280">
        <v>14</v>
      </c>
      <c r="J79" s="280">
        <v>9.5</v>
      </c>
      <c r="K79" s="97">
        <f>SUM(D79:J79)</f>
        <v>63.1</v>
      </c>
    </row>
    <row r="80" spans="1:11" ht="13.5" thickBot="1" x14ac:dyDescent="0.25">
      <c r="A80" s="98" t="s">
        <v>28</v>
      </c>
      <c r="B80" s="89"/>
      <c r="C80" s="98"/>
      <c r="D80" s="99">
        <f t="shared" ref="D80:K80" si="28">SUM(D75:D79)</f>
        <v>7</v>
      </c>
      <c r="E80" s="99">
        <f t="shared" si="28"/>
        <v>7</v>
      </c>
      <c r="F80" s="99">
        <f t="shared" si="28"/>
        <v>16.399999999999999</v>
      </c>
      <c r="G80" s="99">
        <f t="shared" si="28"/>
        <v>13</v>
      </c>
      <c r="H80" s="99">
        <f t="shared" si="28"/>
        <v>23.5</v>
      </c>
      <c r="I80" s="99">
        <f t="shared" si="28"/>
        <v>23.5</v>
      </c>
      <c r="J80" s="99">
        <f t="shared" si="28"/>
        <v>15.5</v>
      </c>
      <c r="K80" s="99">
        <f t="shared" si="28"/>
        <v>105.9</v>
      </c>
    </row>
    <row r="81" spans="1:11" ht="13.5" thickTop="1" x14ac:dyDescent="0.2">
      <c r="A81" s="7"/>
      <c r="C81" s="7"/>
      <c r="D81" s="7"/>
      <c r="E81" s="7"/>
      <c r="F81" s="7"/>
      <c r="G81" s="7"/>
      <c r="H81" s="7"/>
      <c r="I81" s="7"/>
      <c r="J81" s="7"/>
    </row>
    <row r="82" spans="1:11" ht="13.5" thickBot="1" x14ac:dyDescent="0.25">
      <c r="A82" s="100" t="s">
        <v>76</v>
      </c>
      <c r="B82" s="89"/>
      <c r="C82" s="100"/>
      <c r="D82" s="101">
        <f>(D69*2+D70)/D80</f>
        <v>6</v>
      </c>
      <c r="E82" s="101">
        <f t="shared" ref="E82:K82" si="29">(E69*2+E70)/E80</f>
        <v>5.6888888888888891</v>
      </c>
      <c r="F82" s="101">
        <f t="shared" si="29"/>
        <v>5.6544715447154479</v>
      </c>
      <c r="G82" s="101">
        <f t="shared" si="29"/>
        <v>5.2307692307692308</v>
      </c>
      <c r="H82" s="101">
        <f t="shared" si="29"/>
        <v>5.899763593380615</v>
      </c>
      <c r="I82" s="101">
        <f t="shared" si="29"/>
        <v>6.0624113475177301</v>
      </c>
      <c r="J82" s="101">
        <f t="shared" si="29"/>
        <v>5.8853046594982086</v>
      </c>
      <c r="K82" s="101">
        <f t="shared" si="29"/>
        <v>5.8063162312454093</v>
      </c>
    </row>
    <row r="83" spans="1:11" ht="13.5" thickTop="1" x14ac:dyDescent="0.2">
      <c r="A83" s="7"/>
      <c r="C83" s="7"/>
      <c r="D83" s="7"/>
      <c r="E83" s="7"/>
      <c r="F83" s="7"/>
      <c r="G83" s="7"/>
      <c r="H83" s="7"/>
      <c r="I83" s="7"/>
      <c r="J83" s="7"/>
    </row>
    <row r="84" spans="1:11" ht="13.5" thickBot="1" x14ac:dyDescent="0.25">
      <c r="A84" s="100" t="s">
        <v>95</v>
      </c>
      <c r="B84" s="89"/>
      <c r="C84" s="100"/>
      <c r="D84" s="102">
        <f>(D69*2+D70)/D75</f>
        <v>42</v>
      </c>
      <c r="E84" s="102">
        <f t="shared" ref="E84:K84" si="30">(E69*2+E70)/E75</f>
        <v>39.822222222222223</v>
      </c>
      <c r="F84" s="102">
        <f t="shared" si="30"/>
        <v>92.733333333333334</v>
      </c>
      <c r="G84" s="102">
        <f t="shared" si="30"/>
        <v>68</v>
      </c>
      <c r="H84" s="102">
        <f t="shared" si="30"/>
        <v>92.42962962962963</v>
      </c>
      <c r="I84" s="102">
        <f t="shared" si="30"/>
        <v>94.977777777777774</v>
      </c>
      <c r="J84" s="102">
        <f t="shared" si="30"/>
        <v>91.222222222222229</v>
      </c>
      <c r="K84" s="102">
        <f t="shared" si="30"/>
        <v>76.861111111111114</v>
      </c>
    </row>
    <row r="85" spans="1:11" ht="14.25" thickTop="1" thickBot="1" x14ac:dyDescent="0.25">
      <c r="A85" s="100" t="s">
        <v>96</v>
      </c>
      <c r="B85" s="89"/>
      <c r="C85" s="100"/>
      <c r="D85" s="102">
        <f>(D69*2+D70)/(D80-D75)</f>
        <v>7</v>
      </c>
      <c r="E85" s="102">
        <f t="shared" ref="E85:K85" si="31">(E69*2+E70)/(E80-E75)</f>
        <v>6.6370370370370368</v>
      </c>
      <c r="F85" s="102">
        <f t="shared" si="31"/>
        <v>6.0216450216450221</v>
      </c>
      <c r="G85" s="102">
        <f t="shared" si="31"/>
        <v>5.666666666666667</v>
      </c>
      <c r="H85" s="102">
        <f t="shared" si="31"/>
        <v>6.3020202020202021</v>
      </c>
      <c r="I85" s="102">
        <f t="shared" si="31"/>
        <v>6.4757575757575756</v>
      </c>
      <c r="J85" s="102">
        <f t="shared" si="31"/>
        <v>6.2911877394636022</v>
      </c>
      <c r="K85" s="102">
        <f t="shared" si="31"/>
        <v>6.2807853819089772</v>
      </c>
    </row>
    <row r="86" spans="1:11" ht="13.5" thickTop="1" x14ac:dyDescent="0.2"/>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Normal="100" workbookViewId="0">
      <pane xSplit="3" ySplit="1" topLeftCell="D53" activePane="bottomRight" state="frozen"/>
      <selection pane="topRight" activeCell="E1" sqref="E1"/>
      <selection pane="bottomLeft" activeCell="A2" sqref="A2"/>
      <selection pane="bottomRight" activeCell="K80" sqref="K80"/>
    </sheetView>
  </sheetViews>
  <sheetFormatPr baseColWidth="10" defaultColWidth="11.42578125" defaultRowHeight="12.75" outlineLevelRow="1" x14ac:dyDescent="0.2"/>
  <cols>
    <col min="1" max="1" width="15.42578125" style="14" customWidth="1"/>
    <col min="2" max="2" width="5.42578125" style="14" bestFit="1" customWidth="1"/>
    <col min="3" max="3" width="13.42578125" style="14" customWidth="1"/>
    <col min="4" max="10" width="9.42578125" style="14" customWidth="1"/>
    <col min="11" max="11" width="7.42578125" style="14" customWidth="1"/>
    <col min="12" max="16384" width="11.42578125" style="14"/>
  </cols>
  <sheetData>
    <row r="1" spans="1:13" x14ac:dyDescent="0.2">
      <c r="A1" s="14" t="s">
        <v>234</v>
      </c>
      <c r="B1" s="78" t="s">
        <v>20</v>
      </c>
      <c r="C1" s="78" t="s">
        <v>34</v>
      </c>
      <c r="D1" s="80" t="s">
        <v>111</v>
      </c>
      <c r="E1" s="80" t="s">
        <v>112</v>
      </c>
      <c r="F1" s="80" t="s">
        <v>113</v>
      </c>
      <c r="G1" s="80" t="s">
        <v>114</v>
      </c>
      <c r="H1" s="80" t="s">
        <v>115</v>
      </c>
      <c r="I1" s="80" t="s">
        <v>116</v>
      </c>
      <c r="J1" s="80" t="s">
        <v>117</v>
      </c>
      <c r="K1" s="26" t="s">
        <v>28</v>
      </c>
      <c r="M1" s="14" t="s">
        <v>57</v>
      </c>
    </row>
    <row r="2" spans="1:13" outlineLevel="1" x14ac:dyDescent="0.2">
      <c r="A2" s="14" t="s">
        <v>4</v>
      </c>
      <c r="B2" s="14">
        <v>0</v>
      </c>
      <c r="C2" s="103">
        <v>2018</v>
      </c>
      <c r="D2" s="107"/>
      <c r="E2" s="107"/>
      <c r="F2" s="107"/>
      <c r="G2" s="107"/>
      <c r="H2" s="107"/>
      <c r="I2" s="107"/>
      <c r="J2" s="107"/>
      <c r="K2" s="81">
        <f t="shared" ref="K2:K49" si="0">SUM(D2:J2)</f>
        <v>0</v>
      </c>
      <c r="M2" s="14" t="s">
        <v>208</v>
      </c>
    </row>
    <row r="3" spans="1:13" outlineLevel="1" x14ac:dyDescent="0.2">
      <c r="B3" s="14">
        <v>1</v>
      </c>
      <c r="C3" s="78" t="str">
        <f>$C$2-B3&amp;" etter 1.12."</f>
        <v>2017 etter 1.12.</v>
      </c>
      <c r="D3" s="107"/>
      <c r="E3" s="107"/>
      <c r="F3" s="107"/>
      <c r="G3" s="107"/>
      <c r="H3" s="107"/>
      <c r="I3" s="107"/>
      <c r="J3" s="107"/>
      <c r="K3" s="81">
        <f t="shared" si="0"/>
        <v>0</v>
      </c>
    </row>
    <row r="4" spans="1:13" outlineLevel="1" x14ac:dyDescent="0.2">
      <c r="B4" s="14">
        <v>1</v>
      </c>
      <c r="C4" s="78" t="str">
        <f>$C$2-B4&amp;" før 1.12."</f>
        <v>2017 før 1.12.</v>
      </c>
      <c r="D4" s="107"/>
      <c r="E4" s="107"/>
      <c r="F4" s="107"/>
      <c r="G4" s="107"/>
      <c r="H4" s="107"/>
      <c r="I4" s="107"/>
      <c r="J4" s="107"/>
      <c r="K4" s="81">
        <f t="shared" si="0"/>
        <v>0</v>
      </c>
    </row>
    <row r="5" spans="1:13" outlineLevel="1" x14ac:dyDescent="0.2">
      <c r="B5" s="14">
        <v>2</v>
      </c>
      <c r="C5" s="78">
        <f>$C$2-B5</f>
        <v>2016</v>
      </c>
      <c r="D5" s="107"/>
      <c r="E5" s="107"/>
      <c r="F5" s="107"/>
      <c r="G5" s="107"/>
      <c r="H5" s="107"/>
      <c r="I5" s="107"/>
      <c r="J5" s="107"/>
      <c r="K5" s="81">
        <f t="shared" si="0"/>
        <v>0</v>
      </c>
    </row>
    <row r="6" spans="1:13" outlineLevel="1" x14ac:dyDescent="0.2">
      <c r="B6" s="14">
        <v>3</v>
      </c>
      <c r="C6" s="78">
        <f>$C$2-B6</f>
        <v>2015</v>
      </c>
      <c r="D6" s="107"/>
      <c r="E6" s="107"/>
      <c r="F6" s="107"/>
      <c r="G6" s="107"/>
      <c r="H6" s="107"/>
      <c r="I6" s="107"/>
      <c r="J6" s="107"/>
      <c r="K6" s="81">
        <f t="shared" si="0"/>
        <v>0</v>
      </c>
    </row>
    <row r="7" spans="1:13" outlineLevel="1" x14ac:dyDescent="0.2">
      <c r="B7" s="14">
        <v>4</v>
      </c>
      <c r="C7" s="78">
        <f>$C$2-B7</f>
        <v>2014</v>
      </c>
      <c r="D7" s="107"/>
      <c r="E7" s="107"/>
      <c r="F7" s="107"/>
      <c r="G7" s="107"/>
      <c r="H7" s="107"/>
      <c r="I7" s="107"/>
      <c r="J7" s="107"/>
      <c r="K7" s="81">
        <f t="shared" si="0"/>
        <v>0</v>
      </c>
    </row>
    <row r="8" spans="1:13" outlineLevel="1" x14ac:dyDescent="0.2">
      <c r="B8" s="14">
        <v>5</v>
      </c>
      <c r="C8" s="78">
        <f>$C$2-B8</f>
        <v>2013</v>
      </c>
      <c r="D8" s="107"/>
      <c r="E8" s="107"/>
      <c r="F8" s="107"/>
      <c r="G8" s="107"/>
      <c r="H8" s="107"/>
      <c r="I8" s="107"/>
      <c r="J8" s="107"/>
      <c r="K8" s="81">
        <f t="shared" si="0"/>
        <v>0</v>
      </c>
    </row>
    <row r="9" spans="1:13" outlineLevel="1" x14ac:dyDescent="0.2">
      <c r="A9" s="82"/>
      <c r="B9" s="82">
        <v>6</v>
      </c>
      <c r="C9" s="83">
        <f>$C$2-B9</f>
        <v>2012</v>
      </c>
      <c r="D9" s="107"/>
      <c r="E9" s="107"/>
      <c r="F9" s="107"/>
      <c r="G9" s="107"/>
      <c r="H9" s="107"/>
      <c r="I9" s="107"/>
      <c r="J9" s="107"/>
      <c r="K9" s="81">
        <f t="shared" si="0"/>
        <v>0</v>
      </c>
    </row>
    <row r="10" spans="1:13" outlineLevel="1" x14ac:dyDescent="0.2">
      <c r="A10" s="78" t="s">
        <v>5</v>
      </c>
      <c r="B10" s="14">
        <v>0</v>
      </c>
      <c r="C10" s="78">
        <f t="shared" ref="C10" si="1">$C$2-B10</f>
        <v>2018</v>
      </c>
      <c r="D10" s="107"/>
      <c r="E10" s="107"/>
      <c r="F10" s="107"/>
      <c r="G10" s="107"/>
      <c r="H10" s="107"/>
      <c r="I10" s="107"/>
      <c r="J10" s="107"/>
      <c r="K10" s="81">
        <f t="shared" si="0"/>
        <v>0</v>
      </c>
    </row>
    <row r="11" spans="1:13" outlineLevel="1" x14ac:dyDescent="0.2">
      <c r="A11" s="78"/>
      <c r="B11" s="14">
        <v>1</v>
      </c>
      <c r="C11" s="78" t="str">
        <f>$C$2-B11&amp;" etter 1.12."</f>
        <v>2017 etter 1.12.</v>
      </c>
      <c r="D11" s="107"/>
      <c r="E11" s="107"/>
      <c r="F11" s="107"/>
      <c r="G11" s="107"/>
      <c r="H11" s="107"/>
      <c r="I11" s="107"/>
      <c r="J11" s="107"/>
      <c r="K11" s="81">
        <f t="shared" si="0"/>
        <v>0</v>
      </c>
    </row>
    <row r="12" spans="1:13" outlineLevel="1" x14ac:dyDescent="0.2">
      <c r="A12" s="78"/>
      <c r="B12" s="14">
        <v>1</v>
      </c>
      <c r="C12" s="78" t="str">
        <f>$C$2-B12&amp;" før 1.12."</f>
        <v>2017 før 1.12.</v>
      </c>
      <c r="D12" s="107"/>
      <c r="E12" s="107"/>
      <c r="F12" s="107"/>
      <c r="G12" s="107"/>
      <c r="H12" s="107"/>
      <c r="I12" s="107"/>
      <c r="J12" s="107"/>
      <c r="K12" s="81">
        <f t="shared" si="0"/>
        <v>0</v>
      </c>
    </row>
    <row r="13" spans="1:13" outlineLevel="1" x14ac:dyDescent="0.2">
      <c r="B13" s="14">
        <v>2</v>
      </c>
      <c r="C13" s="78">
        <f>$C$2-B13</f>
        <v>2016</v>
      </c>
      <c r="D13" s="107"/>
      <c r="E13" s="107"/>
      <c r="F13" s="107"/>
      <c r="G13" s="107"/>
      <c r="H13" s="107"/>
      <c r="I13" s="107"/>
      <c r="J13" s="107"/>
      <c r="K13" s="81">
        <f t="shared" si="0"/>
        <v>0</v>
      </c>
    </row>
    <row r="14" spans="1:13" outlineLevel="1" x14ac:dyDescent="0.2">
      <c r="B14" s="14">
        <v>3</v>
      </c>
      <c r="C14" s="78">
        <f>$C$2-B14</f>
        <v>2015</v>
      </c>
      <c r="D14" s="107"/>
      <c r="E14" s="107"/>
      <c r="F14" s="107"/>
      <c r="G14" s="107"/>
      <c r="H14" s="107"/>
      <c r="I14" s="107"/>
      <c r="J14" s="107"/>
      <c r="K14" s="81">
        <f t="shared" si="0"/>
        <v>0</v>
      </c>
    </row>
    <row r="15" spans="1:13" outlineLevel="1" x14ac:dyDescent="0.2">
      <c r="B15" s="14">
        <v>4</v>
      </c>
      <c r="C15" s="78">
        <f>$C$2-B15</f>
        <v>2014</v>
      </c>
      <c r="D15" s="107"/>
      <c r="E15" s="107"/>
      <c r="F15" s="107"/>
      <c r="G15" s="107"/>
      <c r="H15" s="107"/>
      <c r="I15" s="107"/>
      <c r="J15" s="107"/>
      <c r="K15" s="81">
        <f t="shared" si="0"/>
        <v>0</v>
      </c>
    </row>
    <row r="16" spans="1:13" outlineLevel="1" x14ac:dyDescent="0.2">
      <c r="B16" s="14">
        <v>5</v>
      </c>
      <c r="C16" s="78">
        <f>$C$2-B16</f>
        <v>2013</v>
      </c>
      <c r="D16" s="107"/>
      <c r="E16" s="107"/>
      <c r="F16" s="107"/>
      <c r="G16" s="107"/>
      <c r="H16" s="107"/>
      <c r="I16" s="107"/>
      <c r="J16" s="107"/>
      <c r="K16" s="81">
        <f t="shared" si="0"/>
        <v>0</v>
      </c>
    </row>
    <row r="17" spans="1:11" outlineLevel="1" x14ac:dyDescent="0.2">
      <c r="A17" s="82"/>
      <c r="B17" s="82">
        <v>6</v>
      </c>
      <c r="C17" s="83">
        <f>$C$2-B17</f>
        <v>2012</v>
      </c>
      <c r="D17" s="107"/>
      <c r="E17" s="107"/>
      <c r="F17" s="107"/>
      <c r="G17" s="107"/>
      <c r="H17" s="107"/>
      <c r="I17" s="107"/>
      <c r="J17" s="107"/>
      <c r="K17" s="81">
        <f t="shared" si="0"/>
        <v>0</v>
      </c>
    </row>
    <row r="18" spans="1:11" outlineLevel="1" x14ac:dyDescent="0.2">
      <c r="A18" s="78" t="s">
        <v>6</v>
      </c>
      <c r="B18" s="14">
        <v>0</v>
      </c>
      <c r="C18" s="78">
        <f>C10</f>
        <v>2018</v>
      </c>
      <c r="D18" s="107"/>
      <c r="E18" s="107"/>
      <c r="F18" s="107"/>
      <c r="G18" s="107"/>
      <c r="H18" s="107"/>
      <c r="I18" s="107"/>
      <c r="J18" s="107"/>
      <c r="K18" s="81">
        <f t="shared" si="0"/>
        <v>0</v>
      </c>
    </row>
    <row r="19" spans="1:11" outlineLevel="1" x14ac:dyDescent="0.2">
      <c r="B19" s="14">
        <v>1</v>
      </c>
      <c r="C19" s="78" t="str">
        <f>$C$2-B19&amp;" etter 1.12."</f>
        <v>2017 etter 1.12.</v>
      </c>
      <c r="D19" s="107"/>
      <c r="E19" s="107"/>
      <c r="F19" s="107">
        <v>1</v>
      </c>
      <c r="G19" s="107"/>
      <c r="H19" s="107"/>
      <c r="I19" s="107"/>
      <c r="J19" s="107"/>
      <c r="K19" s="81">
        <f t="shared" si="0"/>
        <v>1</v>
      </c>
    </row>
    <row r="20" spans="1:11" outlineLevel="1" x14ac:dyDescent="0.2">
      <c r="B20" s="14">
        <v>1</v>
      </c>
      <c r="C20" s="78" t="str">
        <f>$C$2-B20&amp;" før 1.12."</f>
        <v>2017 før 1.12.</v>
      </c>
      <c r="D20" s="107"/>
      <c r="E20" s="107"/>
      <c r="F20" s="107"/>
      <c r="G20" s="107"/>
      <c r="H20" s="107"/>
      <c r="I20" s="107"/>
      <c r="J20" s="107"/>
      <c r="K20" s="81">
        <f t="shared" si="0"/>
        <v>0</v>
      </c>
    </row>
    <row r="21" spans="1:11" outlineLevel="1" x14ac:dyDescent="0.2">
      <c r="B21" s="14">
        <v>2</v>
      </c>
      <c r="C21" s="78">
        <f>$C$2-B21</f>
        <v>2016</v>
      </c>
      <c r="D21" s="107"/>
      <c r="E21" s="107"/>
      <c r="F21" s="107">
        <v>1</v>
      </c>
      <c r="G21" s="107"/>
      <c r="H21" s="107"/>
      <c r="I21" s="107">
        <v>1</v>
      </c>
      <c r="J21" s="107"/>
      <c r="K21" s="81">
        <f t="shared" si="0"/>
        <v>2</v>
      </c>
    </row>
    <row r="22" spans="1:11" outlineLevel="1" x14ac:dyDescent="0.2">
      <c r="B22" s="14">
        <v>3</v>
      </c>
      <c r="C22" s="78">
        <f>$C$2-B22</f>
        <v>2015</v>
      </c>
      <c r="D22" s="107"/>
      <c r="E22" s="107"/>
      <c r="F22" s="107"/>
      <c r="G22" s="107"/>
      <c r="H22" s="107"/>
      <c r="I22" s="107"/>
      <c r="J22" s="107">
        <v>1</v>
      </c>
      <c r="K22" s="81">
        <f t="shared" si="0"/>
        <v>1</v>
      </c>
    </row>
    <row r="23" spans="1:11" outlineLevel="1" x14ac:dyDescent="0.2">
      <c r="B23" s="14">
        <v>4</v>
      </c>
      <c r="C23" s="78">
        <f>$C$2-B23</f>
        <v>2014</v>
      </c>
      <c r="D23" s="107"/>
      <c r="E23" s="107"/>
      <c r="F23" s="107"/>
      <c r="G23" s="107"/>
      <c r="H23" s="107"/>
      <c r="I23" s="107"/>
      <c r="J23" s="107"/>
      <c r="K23" s="81">
        <f t="shared" si="0"/>
        <v>0</v>
      </c>
    </row>
    <row r="24" spans="1:11" outlineLevel="1" x14ac:dyDescent="0.2">
      <c r="B24" s="14">
        <v>5</v>
      </c>
      <c r="C24" s="78">
        <f>$C$2-B24</f>
        <v>2013</v>
      </c>
      <c r="D24" s="107"/>
      <c r="E24" s="107"/>
      <c r="F24" s="107">
        <v>1</v>
      </c>
      <c r="G24" s="107"/>
      <c r="H24" s="107"/>
      <c r="I24" s="107"/>
      <c r="J24" s="107"/>
      <c r="K24" s="81">
        <f t="shared" si="0"/>
        <v>1</v>
      </c>
    </row>
    <row r="25" spans="1:11" outlineLevel="1" x14ac:dyDescent="0.2">
      <c r="A25" s="82"/>
      <c r="B25" s="82">
        <v>6</v>
      </c>
      <c r="C25" s="83">
        <f>$C$2-B25</f>
        <v>2012</v>
      </c>
      <c r="D25" s="107"/>
      <c r="E25" s="107"/>
      <c r="F25" s="107"/>
      <c r="G25" s="107"/>
      <c r="H25" s="107"/>
      <c r="I25" s="107"/>
      <c r="J25" s="107"/>
      <c r="K25" s="81">
        <f t="shared" si="0"/>
        <v>0</v>
      </c>
    </row>
    <row r="26" spans="1:11" outlineLevel="1" x14ac:dyDescent="0.2">
      <c r="A26" s="78" t="s">
        <v>7</v>
      </c>
      <c r="B26" s="14">
        <v>0</v>
      </c>
      <c r="C26" s="78">
        <f>C18</f>
        <v>2018</v>
      </c>
      <c r="D26" s="107"/>
      <c r="E26" s="107"/>
      <c r="F26" s="107"/>
      <c r="G26" s="107"/>
      <c r="H26" s="107"/>
      <c r="I26" s="107"/>
      <c r="J26" s="107"/>
      <c r="K26" s="81">
        <f t="shared" si="0"/>
        <v>0</v>
      </c>
    </row>
    <row r="27" spans="1:11" outlineLevel="1" x14ac:dyDescent="0.2">
      <c r="B27" s="14">
        <v>1</v>
      </c>
      <c r="C27" s="78" t="str">
        <f>$C$2-B27&amp;" etter 1.12."</f>
        <v>2017 etter 1.12.</v>
      </c>
      <c r="D27" s="107"/>
      <c r="E27" s="107"/>
      <c r="F27" s="107"/>
      <c r="G27" s="107"/>
      <c r="H27" s="107"/>
      <c r="I27" s="107"/>
      <c r="J27" s="107"/>
      <c r="K27" s="81">
        <f t="shared" si="0"/>
        <v>0</v>
      </c>
    </row>
    <row r="28" spans="1:11" outlineLevel="1" x14ac:dyDescent="0.2">
      <c r="B28" s="14">
        <v>1</v>
      </c>
      <c r="C28" s="78" t="str">
        <f>$C$2-B28&amp;" før 1.12."</f>
        <v>2017 før 1.12.</v>
      </c>
      <c r="D28" s="107"/>
      <c r="E28" s="107"/>
      <c r="F28" s="107"/>
      <c r="G28" s="107"/>
      <c r="H28" s="107"/>
      <c r="I28" s="107"/>
      <c r="J28" s="107"/>
      <c r="K28" s="81">
        <f t="shared" si="0"/>
        <v>0</v>
      </c>
    </row>
    <row r="29" spans="1:11" outlineLevel="1" x14ac:dyDescent="0.2">
      <c r="B29" s="14">
        <v>2</v>
      </c>
      <c r="C29" s="78">
        <f>$C$2-B29</f>
        <v>2016</v>
      </c>
      <c r="D29" s="107"/>
      <c r="E29" s="107"/>
      <c r="F29" s="107"/>
      <c r="G29" s="107"/>
      <c r="H29" s="107"/>
      <c r="I29" s="107"/>
      <c r="J29" s="107"/>
      <c r="K29" s="81">
        <f t="shared" si="0"/>
        <v>0</v>
      </c>
    </row>
    <row r="30" spans="1:11" outlineLevel="1" x14ac:dyDescent="0.2">
      <c r="B30" s="14">
        <v>3</v>
      </c>
      <c r="C30" s="78">
        <f>$C$2-B30</f>
        <v>2015</v>
      </c>
      <c r="D30" s="107"/>
      <c r="E30" s="107"/>
      <c r="F30" s="107"/>
      <c r="G30" s="107"/>
      <c r="H30" s="107"/>
      <c r="I30" s="107"/>
      <c r="J30" s="107"/>
      <c r="K30" s="81">
        <f t="shared" si="0"/>
        <v>0</v>
      </c>
    </row>
    <row r="31" spans="1:11" outlineLevel="1" x14ac:dyDescent="0.2">
      <c r="B31" s="14">
        <v>4</v>
      </c>
      <c r="C31" s="78">
        <f>$C$2-B31</f>
        <v>2014</v>
      </c>
      <c r="D31" s="107"/>
      <c r="E31" s="107"/>
      <c r="F31" s="107">
        <v>1</v>
      </c>
      <c r="G31" s="107"/>
      <c r="H31" s="107"/>
      <c r="I31" s="107"/>
      <c r="J31" s="107">
        <v>1</v>
      </c>
      <c r="K31" s="81">
        <f t="shared" si="0"/>
        <v>2</v>
      </c>
    </row>
    <row r="32" spans="1:11" outlineLevel="1" x14ac:dyDescent="0.2">
      <c r="B32" s="14">
        <v>5</v>
      </c>
      <c r="C32" s="78">
        <f>$C$2-B32</f>
        <v>2013</v>
      </c>
      <c r="D32" s="107"/>
      <c r="E32" s="107"/>
      <c r="F32" s="107"/>
      <c r="G32" s="107"/>
      <c r="H32" s="107"/>
      <c r="I32" s="107"/>
      <c r="J32" s="107"/>
      <c r="K32" s="81">
        <f t="shared" si="0"/>
        <v>0</v>
      </c>
    </row>
    <row r="33" spans="1:11" outlineLevel="1" x14ac:dyDescent="0.2">
      <c r="A33" s="82"/>
      <c r="B33" s="82">
        <v>6</v>
      </c>
      <c r="C33" s="83">
        <f>$C$2-B33</f>
        <v>2012</v>
      </c>
      <c r="D33" s="107"/>
      <c r="E33" s="107"/>
      <c r="F33" s="107"/>
      <c r="G33" s="107"/>
      <c r="H33" s="107"/>
      <c r="I33" s="107"/>
      <c r="J33" s="107"/>
      <c r="K33" s="81">
        <f t="shared" si="0"/>
        <v>0</v>
      </c>
    </row>
    <row r="34" spans="1:11" outlineLevel="1" x14ac:dyDescent="0.2">
      <c r="A34" s="78" t="s">
        <v>8</v>
      </c>
      <c r="B34" s="14">
        <v>0</v>
      </c>
      <c r="C34" s="78">
        <f>C26</f>
        <v>2018</v>
      </c>
      <c r="D34" s="107"/>
      <c r="E34" s="107"/>
      <c r="F34" s="107"/>
      <c r="G34" s="107"/>
      <c r="H34" s="107"/>
      <c r="I34" s="107"/>
      <c r="J34" s="107"/>
      <c r="K34" s="81">
        <f t="shared" si="0"/>
        <v>0</v>
      </c>
    </row>
    <row r="35" spans="1:11" outlineLevel="1" x14ac:dyDescent="0.2">
      <c r="B35" s="14">
        <v>1</v>
      </c>
      <c r="C35" s="78" t="str">
        <f>$C$2-B35&amp;" etter 1.12."</f>
        <v>2017 etter 1.12.</v>
      </c>
      <c r="D35" s="107"/>
      <c r="E35" s="107"/>
      <c r="F35" s="107"/>
      <c r="G35" s="107"/>
      <c r="H35" s="107"/>
      <c r="I35" s="107"/>
      <c r="J35" s="107">
        <v>1</v>
      </c>
      <c r="K35" s="81">
        <f t="shared" si="0"/>
        <v>1</v>
      </c>
    </row>
    <row r="36" spans="1:11" outlineLevel="1" x14ac:dyDescent="0.2">
      <c r="B36" s="14">
        <v>1</v>
      </c>
      <c r="C36" s="78" t="str">
        <f>$C$2-B36&amp;" før 1.12."</f>
        <v>2017 før 1.12.</v>
      </c>
      <c r="D36" s="107"/>
      <c r="E36" s="107"/>
      <c r="F36" s="107"/>
      <c r="G36" s="107"/>
      <c r="H36" s="107"/>
      <c r="I36" s="107"/>
      <c r="J36" s="107"/>
      <c r="K36" s="81">
        <f t="shared" si="0"/>
        <v>0</v>
      </c>
    </row>
    <row r="37" spans="1:11" outlineLevel="1" x14ac:dyDescent="0.2">
      <c r="B37" s="14">
        <v>2</v>
      </c>
      <c r="C37" s="78">
        <f>$C$2-B37</f>
        <v>2016</v>
      </c>
      <c r="D37" s="107"/>
      <c r="E37" s="107"/>
      <c r="F37" s="107"/>
      <c r="G37" s="107"/>
      <c r="H37" s="107"/>
      <c r="I37" s="107"/>
      <c r="J37" s="107"/>
      <c r="K37" s="81">
        <f t="shared" si="0"/>
        <v>0</v>
      </c>
    </row>
    <row r="38" spans="1:11" outlineLevel="1" x14ac:dyDescent="0.2">
      <c r="B38" s="14">
        <v>3</v>
      </c>
      <c r="C38" s="78">
        <f>$C$2-B38</f>
        <v>2015</v>
      </c>
      <c r="D38" s="107"/>
      <c r="E38" s="107"/>
      <c r="F38" s="107"/>
      <c r="G38" s="107"/>
      <c r="H38" s="107"/>
      <c r="I38" s="107"/>
      <c r="J38" s="107"/>
      <c r="K38" s="81">
        <f t="shared" si="0"/>
        <v>0</v>
      </c>
    </row>
    <row r="39" spans="1:11" outlineLevel="1" x14ac:dyDescent="0.2">
      <c r="B39" s="14">
        <v>4</v>
      </c>
      <c r="C39" s="78">
        <f>$C$2-B39</f>
        <v>2014</v>
      </c>
      <c r="D39" s="107"/>
      <c r="E39" s="107"/>
      <c r="F39" s="107"/>
      <c r="G39" s="107"/>
      <c r="H39" s="107"/>
      <c r="I39" s="107"/>
      <c r="J39" s="107">
        <v>1</v>
      </c>
      <c r="K39" s="81">
        <f t="shared" si="0"/>
        <v>1</v>
      </c>
    </row>
    <row r="40" spans="1:11" outlineLevel="1" x14ac:dyDescent="0.2">
      <c r="B40" s="14">
        <v>5</v>
      </c>
      <c r="C40" s="78">
        <f>$C$2-B40</f>
        <v>2013</v>
      </c>
      <c r="D40" s="107"/>
      <c r="E40" s="107"/>
      <c r="F40" s="107"/>
      <c r="G40" s="107"/>
      <c r="H40" s="107"/>
      <c r="I40" s="107"/>
      <c r="J40" s="107">
        <v>1</v>
      </c>
      <c r="K40" s="81">
        <f t="shared" si="0"/>
        <v>1</v>
      </c>
    </row>
    <row r="41" spans="1:11" outlineLevel="1" x14ac:dyDescent="0.2">
      <c r="A41" s="82"/>
      <c r="B41" s="82">
        <v>6</v>
      </c>
      <c r="C41" s="83">
        <f>$C$2-B41</f>
        <v>2012</v>
      </c>
      <c r="D41" s="107"/>
      <c r="E41" s="107"/>
      <c r="F41" s="107"/>
      <c r="G41" s="107"/>
      <c r="H41" s="107"/>
      <c r="I41" s="107"/>
      <c r="J41" s="107"/>
      <c r="K41" s="81">
        <f t="shared" si="0"/>
        <v>0</v>
      </c>
    </row>
    <row r="42" spans="1:11" outlineLevel="1" x14ac:dyDescent="0.2">
      <c r="A42" s="83" t="s">
        <v>9</v>
      </c>
      <c r="B42" s="14">
        <v>0</v>
      </c>
      <c r="C42" s="78">
        <f>C34</f>
        <v>2018</v>
      </c>
      <c r="D42" s="107"/>
      <c r="E42" s="107"/>
      <c r="F42" s="107">
        <v>1</v>
      </c>
      <c r="G42" s="107"/>
      <c r="H42" s="107"/>
      <c r="I42" s="107"/>
      <c r="J42" s="107"/>
      <c r="K42" s="81">
        <f t="shared" si="0"/>
        <v>1</v>
      </c>
    </row>
    <row r="43" spans="1:11" outlineLevel="1" x14ac:dyDescent="0.2">
      <c r="B43" s="14">
        <v>1</v>
      </c>
      <c r="C43" s="78" t="str">
        <f>$C$2-B43&amp;" etter 1.12."</f>
        <v>2017 etter 1.12.</v>
      </c>
      <c r="D43" s="107">
        <v>3</v>
      </c>
      <c r="E43" s="107">
        <v>3</v>
      </c>
      <c r="F43" s="107">
        <v>11</v>
      </c>
      <c r="G43" s="107">
        <v>8</v>
      </c>
      <c r="H43" s="107">
        <v>19</v>
      </c>
      <c r="I43" s="107">
        <v>19</v>
      </c>
      <c r="J43" s="107">
        <v>10</v>
      </c>
      <c r="K43" s="81">
        <f t="shared" si="0"/>
        <v>73</v>
      </c>
    </row>
    <row r="44" spans="1:11" outlineLevel="1" x14ac:dyDescent="0.2">
      <c r="B44" s="14">
        <v>1</v>
      </c>
      <c r="C44" s="78" t="str">
        <f>$C$2-B44&amp;" før 1.12."</f>
        <v>2017 før 1.12.</v>
      </c>
      <c r="D44" s="107"/>
      <c r="E44" s="107"/>
      <c r="F44" s="107"/>
      <c r="G44" s="107"/>
      <c r="H44" s="107"/>
      <c r="I44" s="107"/>
      <c r="J44" s="107"/>
      <c r="K44" s="81">
        <f t="shared" si="0"/>
        <v>0</v>
      </c>
    </row>
    <row r="45" spans="1:11" outlineLevel="1" x14ac:dyDescent="0.2">
      <c r="B45" s="14">
        <v>2</v>
      </c>
      <c r="C45" s="78">
        <f>$C$2-B45</f>
        <v>2016</v>
      </c>
      <c r="D45" s="107">
        <v>6</v>
      </c>
      <c r="E45" s="107">
        <v>6</v>
      </c>
      <c r="F45" s="107">
        <v>11</v>
      </c>
      <c r="G45" s="107">
        <v>12</v>
      </c>
      <c r="H45" s="107">
        <v>25</v>
      </c>
      <c r="I45" s="107">
        <v>19</v>
      </c>
      <c r="J45" s="107">
        <v>16</v>
      </c>
      <c r="K45" s="81">
        <f t="shared" si="0"/>
        <v>95</v>
      </c>
    </row>
    <row r="46" spans="1:11" outlineLevel="1" x14ac:dyDescent="0.2">
      <c r="B46" s="14">
        <v>3</v>
      </c>
      <c r="C46" s="78">
        <f>$C$2-B46</f>
        <v>2015</v>
      </c>
      <c r="D46" s="107">
        <v>7</v>
      </c>
      <c r="E46" s="107">
        <v>6</v>
      </c>
      <c r="F46" s="107">
        <v>19</v>
      </c>
      <c r="G46" s="107">
        <v>14</v>
      </c>
      <c r="H46" s="107">
        <v>15</v>
      </c>
      <c r="I46" s="107">
        <v>21</v>
      </c>
      <c r="J46" s="107">
        <v>11</v>
      </c>
      <c r="K46" s="81">
        <f t="shared" si="0"/>
        <v>93</v>
      </c>
    </row>
    <row r="47" spans="1:11" outlineLevel="1" x14ac:dyDescent="0.2">
      <c r="B47" s="14">
        <v>4</v>
      </c>
      <c r="C47" s="78">
        <f>$C$2-B47</f>
        <v>2014</v>
      </c>
      <c r="D47" s="107">
        <v>5</v>
      </c>
      <c r="E47" s="107">
        <v>8</v>
      </c>
      <c r="F47" s="107">
        <v>7</v>
      </c>
      <c r="G47" s="107">
        <v>10</v>
      </c>
      <c r="H47" s="107">
        <v>20</v>
      </c>
      <c r="I47" s="107">
        <v>19</v>
      </c>
      <c r="J47" s="107">
        <v>10</v>
      </c>
      <c r="K47" s="81">
        <f t="shared" si="0"/>
        <v>79</v>
      </c>
    </row>
    <row r="48" spans="1:11" outlineLevel="1" x14ac:dyDescent="0.2">
      <c r="B48" s="14">
        <v>5</v>
      </c>
      <c r="C48" s="78">
        <f>$C$2-B48</f>
        <v>2013</v>
      </c>
      <c r="D48" s="107">
        <v>12</v>
      </c>
      <c r="E48" s="107">
        <v>8</v>
      </c>
      <c r="F48" s="107">
        <v>11</v>
      </c>
      <c r="G48" s="107">
        <v>8</v>
      </c>
      <c r="H48" s="107">
        <v>19</v>
      </c>
      <c r="I48" s="107">
        <v>23</v>
      </c>
      <c r="J48" s="107">
        <v>13</v>
      </c>
      <c r="K48" s="81">
        <f t="shared" si="0"/>
        <v>94</v>
      </c>
    </row>
    <row r="49" spans="1:11" outlineLevel="1" x14ac:dyDescent="0.2">
      <c r="A49" s="82"/>
      <c r="B49" s="82">
        <v>6</v>
      </c>
      <c r="C49" s="83">
        <f>$C$2-B49</f>
        <v>2012</v>
      </c>
      <c r="D49" s="107"/>
      <c r="E49" s="107"/>
      <c r="F49" s="107"/>
      <c r="G49" s="107"/>
      <c r="H49" s="107"/>
      <c r="I49" s="107">
        <v>2</v>
      </c>
      <c r="J49" s="107"/>
      <c r="K49" s="81">
        <f t="shared" si="0"/>
        <v>2</v>
      </c>
    </row>
    <row r="50" spans="1:11" ht="13.5" outlineLevel="1" thickBot="1" x14ac:dyDescent="0.25">
      <c r="A50" s="89"/>
      <c r="B50" s="89"/>
      <c r="C50" s="90" t="s">
        <v>0</v>
      </c>
      <c r="D50" s="89">
        <f t="shared" ref="D50:K50" si="2">SUM(D2:D49)</f>
        <v>33</v>
      </c>
      <c r="E50" s="89">
        <f t="shared" si="2"/>
        <v>31</v>
      </c>
      <c r="F50" s="89">
        <f t="shared" si="2"/>
        <v>64</v>
      </c>
      <c r="G50" s="89">
        <f t="shared" si="2"/>
        <v>52</v>
      </c>
      <c r="H50" s="89">
        <f t="shared" si="2"/>
        <v>98</v>
      </c>
      <c r="I50" s="89">
        <f t="shared" si="2"/>
        <v>104</v>
      </c>
      <c r="J50" s="89">
        <f t="shared" si="2"/>
        <v>65</v>
      </c>
      <c r="K50" s="89">
        <f t="shared" si="2"/>
        <v>447</v>
      </c>
    </row>
    <row r="51" spans="1:11" ht="22.35" customHeight="1" outlineLevel="1" thickTop="1" x14ac:dyDescent="0.2">
      <c r="A51" s="87" t="s">
        <v>1</v>
      </c>
      <c r="B51" s="87"/>
      <c r="C51" s="86" t="s">
        <v>21</v>
      </c>
      <c r="D51" s="87" t="str">
        <f t="shared" ref="D51:K51" si="3">D1</f>
        <v>Kom 1</v>
      </c>
      <c r="E51" s="87" t="str">
        <f t="shared" si="3"/>
        <v>Kom 2</v>
      </c>
      <c r="F51" s="87" t="str">
        <f t="shared" si="3"/>
        <v>Kom 3</v>
      </c>
      <c r="G51" s="87" t="str">
        <f t="shared" si="3"/>
        <v>Kom 4</v>
      </c>
      <c r="H51" s="87" t="str">
        <f t="shared" si="3"/>
        <v>Kom 5</v>
      </c>
      <c r="I51" s="87" t="str">
        <f t="shared" si="3"/>
        <v>Kom 6</v>
      </c>
      <c r="J51" s="87" t="str">
        <f t="shared" si="3"/>
        <v>Kom 7</v>
      </c>
      <c r="K51" s="87" t="str">
        <f t="shared" si="3"/>
        <v>Sum</v>
      </c>
    </row>
    <row r="52" spans="1:11" outlineLevel="1" x14ac:dyDescent="0.2">
      <c r="A52" s="78" t="s">
        <v>4</v>
      </c>
      <c r="B52" s="84"/>
      <c r="C52" s="88">
        <f>6/45</f>
        <v>0.13333333333333333</v>
      </c>
      <c r="D52" s="84">
        <f t="shared" ref="D52:K52" si="4">SUM(D2:D5)</f>
        <v>0</v>
      </c>
      <c r="E52" s="84">
        <f t="shared" si="4"/>
        <v>0</v>
      </c>
      <c r="F52" s="84">
        <f t="shared" si="4"/>
        <v>0</v>
      </c>
      <c r="G52" s="84">
        <f t="shared" si="4"/>
        <v>0</v>
      </c>
      <c r="H52" s="84">
        <f t="shared" si="4"/>
        <v>0</v>
      </c>
      <c r="I52" s="84">
        <f t="shared" si="4"/>
        <v>0</v>
      </c>
      <c r="J52" s="84">
        <f t="shared" si="4"/>
        <v>0</v>
      </c>
      <c r="K52" s="84">
        <f t="shared" si="4"/>
        <v>0</v>
      </c>
    </row>
    <row r="53" spans="1:11" outlineLevel="1" x14ac:dyDescent="0.2">
      <c r="A53" s="78" t="s">
        <v>5</v>
      </c>
      <c r="B53" s="84"/>
      <c r="C53" s="88">
        <f>13/45</f>
        <v>0.28888888888888886</v>
      </c>
      <c r="D53" s="84">
        <f t="shared" ref="D53:K53" si="5">SUM(D10:D13)</f>
        <v>0</v>
      </c>
      <c r="E53" s="84">
        <f t="shared" si="5"/>
        <v>0</v>
      </c>
      <c r="F53" s="84">
        <f t="shared" si="5"/>
        <v>0</v>
      </c>
      <c r="G53" s="84">
        <f t="shared" si="5"/>
        <v>0</v>
      </c>
      <c r="H53" s="84">
        <f t="shared" si="5"/>
        <v>0</v>
      </c>
      <c r="I53" s="84">
        <f t="shared" si="5"/>
        <v>0</v>
      </c>
      <c r="J53" s="84">
        <f t="shared" si="5"/>
        <v>0</v>
      </c>
      <c r="K53" s="84">
        <f t="shared" si="5"/>
        <v>0</v>
      </c>
    </row>
    <row r="54" spans="1:11" outlineLevel="1" x14ac:dyDescent="0.2">
      <c r="A54" s="78" t="s">
        <v>6</v>
      </c>
      <c r="B54" s="84"/>
      <c r="C54" s="88">
        <f>21/45</f>
        <v>0.46666666666666667</v>
      </c>
      <c r="D54" s="84">
        <f t="shared" ref="D54:K54" si="6">SUM(D18:D21)</f>
        <v>0</v>
      </c>
      <c r="E54" s="84">
        <f t="shared" si="6"/>
        <v>0</v>
      </c>
      <c r="F54" s="84">
        <f t="shared" si="6"/>
        <v>2</v>
      </c>
      <c r="G54" s="84">
        <f t="shared" si="6"/>
        <v>0</v>
      </c>
      <c r="H54" s="84">
        <f t="shared" si="6"/>
        <v>0</v>
      </c>
      <c r="I54" s="84">
        <f t="shared" si="6"/>
        <v>1</v>
      </c>
      <c r="J54" s="84">
        <f t="shared" si="6"/>
        <v>0</v>
      </c>
      <c r="K54" s="84">
        <f t="shared" si="6"/>
        <v>3</v>
      </c>
    </row>
    <row r="55" spans="1:11" outlineLevel="1" x14ac:dyDescent="0.2">
      <c r="A55" s="78" t="s">
        <v>7</v>
      </c>
      <c r="B55" s="84"/>
      <c r="C55" s="88">
        <f>29/45</f>
        <v>0.64444444444444449</v>
      </c>
      <c r="D55" s="84">
        <f t="shared" ref="D55:K55" si="7">SUM(D26:D29)</f>
        <v>0</v>
      </c>
      <c r="E55" s="84">
        <f t="shared" si="7"/>
        <v>0</v>
      </c>
      <c r="F55" s="84">
        <f t="shared" si="7"/>
        <v>0</v>
      </c>
      <c r="G55" s="84">
        <f t="shared" si="7"/>
        <v>0</v>
      </c>
      <c r="H55" s="84">
        <f t="shared" si="7"/>
        <v>0</v>
      </c>
      <c r="I55" s="84">
        <f t="shared" si="7"/>
        <v>0</v>
      </c>
      <c r="J55" s="84">
        <f t="shared" si="7"/>
        <v>0</v>
      </c>
      <c r="K55" s="84">
        <f t="shared" si="7"/>
        <v>0</v>
      </c>
    </row>
    <row r="56" spans="1:11" outlineLevel="1" x14ac:dyDescent="0.2">
      <c r="A56" s="78" t="s">
        <v>8</v>
      </c>
      <c r="B56" s="84"/>
      <c r="C56" s="88">
        <f>37/45</f>
        <v>0.82222222222222219</v>
      </c>
      <c r="D56" s="84">
        <f t="shared" ref="D56:K56" si="8">SUM(D34:D37)</f>
        <v>0</v>
      </c>
      <c r="E56" s="84">
        <f t="shared" si="8"/>
        <v>0</v>
      </c>
      <c r="F56" s="84">
        <f t="shared" si="8"/>
        <v>0</v>
      </c>
      <c r="G56" s="84">
        <f t="shared" si="8"/>
        <v>0</v>
      </c>
      <c r="H56" s="84">
        <f t="shared" si="8"/>
        <v>0</v>
      </c>
      <c r="I56" s="84">
        <f t="shared" si="8"/>
        <v>0</v>
      </c>
      <c r="J56" s="84">
        <f t="shared" si="8"/>
        <v>1</v>
      </c>
      <c r="K56" s="84">
        <f t="shared" si="8"/>
        <v>1</v>
      </c>
    </row>
    <row r="57" spans="1:11" outlineLevel="1" x14ac:dyDescent="0.2">
      <c r="A57" s="85" t="s">
        <v>9</v>
      </c>
      <c r="B57" s="84"/>
      <c r="C57" s="88">
        <f>45/45</f>
        <v>1</v>
      </c>
      <c r="D57" s="84">
        <f t="shared" ref="D57:K57" si="9">SUM(D42:D45)</f>
        <v>9</v>
      </c>
      <c r="E57" s="84">
        <f t="shared" si="9"/>
        <v>9</v>
      </c>
      <c r="F57" s="84">
        <f t="shared" si="9"/>
        <v>23</v>
      </c>
      <c r="G57" s="84">
        <f t="shared" si="9"/>
        <v>20</v>
      </c>
      <c r="H57" s="84">
        <f t="shared" si="9"/>
        <v>44</v>
      </c>
      <c r="I57" s="84">
        <f t="shared" si="9"/>
        <v>38</v>
      </c>
      <c r="J57" s="84">
        <f t="shared" si="9"/>
        <v>26</v>
      </c>
      <c r="K57" s="84">
        <f t="shared" si="9"/>
        <v>169</v>
      </c>
    </row>
    <row r="58" spans="1:11" ht="20.25" customHeight="1" outlineLevel="1" x14ac:dyDescent="0.2">
      <c r="A58" s="87" t="s">
        <v>10</v>
      </c>
      <c r="B58" s="84"/>
      <c r="C58" s="86"/>
      <c r="D58" s="84"/>
      <c r="E58" s="84"/>
      <c r="F58" s="84"/>
      <c r="G58" s="84"/>
      <c r="H58" s="84"/>
      <c r="I58" s="84"/>
      <c r="J58" s="84"/>
      <c r="K58" s="79"/>
    </row>
    <row r="59" spans="1:11" outlineLevel="1" x14ac:dyDescent="0.2">
      <c r="A59" s="78" t="s">
        <v>4</v>
      </c>
      <c r="B59" s="84"/>
      <c r="C59" s="88">
        <f>6/45</f>
        <v>0.13333333333333333</v>
      </c>
      <c r="D59" s="84">
        <f t="shared" ref="D59:K59" si="10">SUM(D6:D9)</f>
        <v>0</v>
      </c>
      <c r="E59" s="84">
        <f t="shared" si="10"/>
        <v>0</v>
      </c>
      <c r="F59" s="84">
        <f t="shared" si="10"/>
        <v>0</v>
      </c>
      <c r="G59" s="84">
        <f t="shared" si="10"/>
        <v>0</v>
      </c>
      <c r="H59" s="84">
        <f t="shared" si="10"/>
        <v>0</v>
      </c>
      <c r="I59" s="84">
        <f t="shared" si="10"/>
        <v>0</v>
      </c>
      <c r="J59" s="84">
        <f t="shared" si="10"/>
        <v>0</v>
      </c>
      <c r="K59" s="84">
        <f t="shared" si="10"/>
        <v>0</v>
      </c>
    </row>
    <row r="60" spans="1:11" outlineLevel="1" x14ac:dyDescent="0.2">
      <c r="A60" s="78" t="s">
        <v>5</v>
      </c>
      <c r="B60" s="84"/>
      <c r="C60" s="88">
        <f>13/45</f>
        <v>0.28888888888888886</v>
      </c>
      <c r="D60" s="84">
        <f t="shared" ref="D60:K60" si="11">SUM(D14:D17)</f>
        <v>0</v>
      </c>
      <c r="E60" s="84">
        <f t="shared" si="11"/>
        <v>0</v>
      </c>
      <c r="F60" s="84">
        <f t="shared" si="11"/>
        <v>0</v>
      </c>
      <c r="G60" s="84">
        <f t="shared" si="11"/>
        <v>0</v>
      </c>
      <c r="H60" s="84">
        <f t="shared" si="11"/>
        <v>0</v>
      </c>
      <c r="I60" s="84">
        <f t="shared" si="11"/>
        <v>0</v>
      </c>
      <c r="J60" s="84">
        <f t="shared" si="11"/>
        <v>0</v>
      </c>
      <c r="K60" s="84">
        <f t="shared" si="11"/>
        <v>0</v>
      </c>
    </row>
    <row r="61" spans="1:11" outlineLevel="1" x14ac:dyDescent="0.2">
      <c r="A61" s="78" t="s">
        <v>6</v>
      </c>
      <c r="B61" s="84"/>
      <c r="C61" s="88">
        <f>21/45</f>
        <v>0.46666666666666667</v>
      </c>
      <c r="D61" s="84">
        <f t="shared" ref="D61:K61" si="12">SUM(D22:D25)</f>
        <v>0</v>
      </c>
      <c r="E61" s="84">
        <f t="shared" si="12"/>
        <v>0</v>
      </c>
      <c r="F61" s="84">
        <f t="shared" si="12"/>
        <v>1</v>
      </c>
      <c r="G61" s="84">
        <f t="shared" si="12"/>
        <v>0</v>
      </c>
      <c r="H61" s="84">
        <f t="shared" si="12"/>
        <v>0</v>
      </c>
      <c r="I61" s="84">
        <f t="shared" si="12"/>
        <v>0</v>
      </c>
      <c r="J61" s="84">
        <f t="shared" si="12"/>
        <v>1</v>
      </c>
      <c r="K61" s="84">
        <f t="shared" si="12"/>
        <v>2</v>
      </c>
    </row>
    <row r="62" spans="1:11" outlineLevel="1" x14ac:dyDescent="0.2">
      <c r="A62" s="78" t="s">
        <v>7</v>
      </c>
      <c r="B62" s="84"/>
      <c r="C62" s="88">
        <f>29/45</f>
        <v>0.64444444444444449</v>
      </c>
      <c r="D62" s="84">
        <f t="shared" ref="D62:K62" si="13">SUM(D30:D33)</f>
        <v>0</v>
      </c>
      <c r="E62" s="84">
        <f t="shared" si="13"/>
        <v>0</v>
      </c>
      <c r="F62" s="84">
        <f t="shared" si="13"/>
        <v>1</v>
      </c>
      <c r="G62" s="84">
        <f t="shared" si="13"/>
        <v>0</v>
      </c>
      <c r="H62" s="84">
        <f t="shared" si="13"/>
        <v>0</v>
      </c>
      <c r="I62" s="84">
        <f t="shared" si="13"/>
        <v>0</v>
      </c>
      <c r="J62" s="84">
        <f t="shared" si="13"/>
        <v>1</v>
      </c>
      <c r="K62" s="84">
        <f t="shared" si="13"/>
        <v>2</v>
      </c>
    </row>
    <row r="63" spans="1:11" outlineLevel="1" x14ac:dyDescent="0.2">
      <c r="A63" s="78" t="s">
        <v>8</v>
      </c>
      <c r="B63" s="84"/>
      <c r="C63" s="88">
        <f>37/45</f>
        <v>0.82222222222222219</v>
      </c>
      <c r="D63" s="84">
        <f t="shared" ref="D63:K63" si="14">SUM(D38:D41)</f>
        <v>0</v>
      </c>
      <c r="E63" s="84">
        <f t="shared" si="14"/>
        <v>0</v>
      </c>
      <c r="F63" s="84">
        <f t="shared" si="14"/>
        <v>0</v>
      </c>
      <c r="G63" s="84">
        <f t="shared" si="14"/>
        <v>0</v>
      </c>
      <c r="H63" s="84">
        <f t="shared" si="14"/>
        <v>0</v>
      </c>
      <c r="I63" s="84">
        <f t="shared" si="14"/>
        <v>0</v>
      </c>
      <c r="J63" s="84">
        <f t="shared" si="14"/>
        <v>2</v>
      </c>
      <c r="K63" s="84">
        <f t="shared" si="14"/>
        <v>2</v>
      </c>
    </row>
    <row r="64" spans="1:11" outlineLevel="1" x14ac:dyDescent="0.2">
      <c r="A64" s="85" t="s">
        <v>9</v>
      </c>
      <c r="B64" s="84"/>
      <c r="C64" s="88">
        <f>45/45</f>
        <v>1</v>
      </c>
      <c r="D64" s="84">
        <f t="shared" ref="D64:K64" si="15">SUM(D46:D49)</f>
        <v>24</v>
      </c>
      <c r="E64" s="84">
        <f t="shared" si="15"/>
        <v>22</v>
      </c>
      <c r="F64" s="84">
        <f t="shared" si="15"/>
        <v>37</v>
      </c>
      <c r="G64" s="84">
        <f t="shared" si="15"/>
        <v>32</v>
      </c>
      <c r="H64" s="84">
        <f t="shared" si="15"/>
        <v>54</v>
      </c>
      <c r="I64" s="84">
        <f t="shared" si="15"/>
        <v>65</v>
      </c>
      <c r="J64" s="84">
        <f t="shared" si="15"/>
        <v>34</v>
      </c>
      <c r="K64" s="84">
        <f t="shared" si="15"/>
        <v>268</v>
      </c>
    </row>
    <row r="65" spans="1:11" ht="20.25" customHeight="1" x14ac:dyDescent="0.2">
      <c r="A65" s="78" t="s">
        <v>1</v>
      </c>
      <c r="C65" s="78"/>
      <c r="D65" s="14">
        <f>SUM(D52:D57)</f>
        <v>9</v>
      </c>
      <c r="E65" s="14">
        <f t="shared" ref="E65:J65" si="16">SUM(E52:E57)</f>
        <v>9</v>
      </c>
      <c r="F65" s="14">
        <f t="shared" si="16"/>
        <v>25</v>
      </c>
      <c r="G65" s="14">
        <f t="shared" si="16"/>
        <v>20</v>
      </c>
      <c r="H65" s="14">
        <f t="shared" si="16"/>
        <v>44</v>
      </c>
      <c r="I65" s="14">
        <f t="shared" si="16"/>
        <v>39</v>
      </c>
      <c r="J65" s="14">
        <f t="shared" si="16"/>
        <v>27</v>
      </c>
      <c r="K65" s="79">
        <f t="shared" ref="K65:K71" si="17">SUM(D65:J65)</f>
        <v>173</v>
      </c>
    </row>
    <row r="66" spans="1:11" x14ac:dyDescent="0.2">
      <c r="A66" s="78" t="s">
        <v>10</v>
      </c>
      <c r="C66" s="78"/>
      <c r="D66" s="14">
        <f>SUM(D59:D64)</f>
        <v>24</v>
      </c>
      <c r="E66" s="14">
        <f t="shared" ref="E66:J66" si="18">SUM(E59:E64)</f>
        <v>22</v>
      </c>
      <c r="F66" s="14">
        <f t="shared" si="18"/>
        <v>39</v>
      </c>
      <c r="G66" s="14">
        <f t="shared" si="18"/>
        <v>32</v>
      </c>
      <c r="H66" s="14">
        <f t="shared" si="18"/>
        <v>54</v>
      </c>
      <c r="I66" s="14">
        <f t="shared" si="18"/>
        <v>65</v>
      </c>
      <c r="J66" s="14">
        <f t="shared" si="18"/>
        <v>38</v>
      </c>
      <c r="K66" s="79">
        <f t="shared" si="17"/>
        <v>274</v>
      </c>
    </row>
    <row r="67" spans="1:11" ht="13.5" thickBot="1" x14ac:dyDescent="0.25">
      <c r="A67" s="90" t="s">
        <v>19</v>
      </c>
      <c r="B67" s="89"/>
      <c r="C67" s="90"/>
      <c r="D67" s="89">
        <f t="shared" ref="D67:J67" si="19">SUM(D65:D66)</f>
        <v>33</v>
      </c>
      <c r="E67" s="89">
        <f t="shared" si="19"/>
        <v>31</v>
      </c>
      <c r="F67" s="89">
        <f t="shared" si="19"/>
        <v>64</v>
      </c>
      <c r="G67" s="89">
        <f t="shared" si="19"/>
        <v>52</v>
      </c>
      <c r="H67" s="89">
        <f t="shared" si="19"/>
        <v>98</v>
      </c>
      <c r="I67" s="89">
        <f t="shared" si="19"/>
        <v>104</v>
      </c>
      <c r="J67" s="89">
        <f t="shared" si="19"/>
        <v>65</v>
      </c>
      <c r="K67" s="91">
        <f t="shared" si="17"/>
        <v>447</v>
      </c>
    </row>
    <row r="68" spans="1:11" ht="13.5" thickTop="1" x14ac:dyDescent="0.2">
      <c r="K68" s="81"/>
    </row>
    <row r="69" spans="1:11" x14ac:dyDescent="0.2">
      <c r="A69" s="78" t="s">
        <v>22</v>
      </c>
      <c r="C69" s="78"/>
      <c r="D69" s="92">
        <f t="shared" ref="D69:J69" si="20">SUMPRODUCT(D52:D57,$C$52:$C$57)</f>
        <v>9</v>
      </c>
      <c r="E69" s="92">
        <f t="shared" si="20"/>
        <v>9</v>
      </c>
      <c r="F69" s="92">
        <f t="shared" si="20"/>
        <v>23.933333333333334</v>
      </c>
      <c r="G69" s="92">
        <f t="shared" si="20"/>
        <v>20</v>
      </c>
      <c r="H69" s="92">
        <f t="shared" si="20"/>
        <v>44</v>
      </c>
      <c r="I69" s="92">
        <f t="shared" si="20"/>
        <v>38.466666666666669</v>
      </c>
      <c r="J69" s="92">
        <f t="shared" si="20"/>
        <v>26.822222222222223</v>
      </c>
      <c r="K69" s="92">
        <f t="shared" si="17"/>
        <v>171.22222222222223</v>
      </c>
    </row>
    <row r="70" spans="1:11" x14ac:dyDescent="0.2">
      <c r="A70" s="78" t="s">
        <v>23</v>
      </c>
      <c r="C70" s="78"/>
      <c r="D70" s="92">
        <f t="shared" ref="D70:J70" si="21">SUMPRODUCT(D59:D64,$C$59:$C$64)</f>
        <v>24</v>
      </c>
      <c r="E70" s="92">
        <f t="shared" si="21"/>
        <v>22</v>
      </c>
      <c r="F70" s="92">
        <f t="shared" si="21"/>
        <v>38.111111111111114</v>
      </c>
      <c r="G70" s="92">
        <f t="shared" si="21"/>
        <v>32</v>
      </c>
      <c r="H70" s="92">
        <f t="shared" si="21"/>
        <v>54</v>
      </c>
      <c r="I70" s="92">
        <f t="shared" si="21"/>
        <v>65</v>
      </c>
      <c r="J70" s="92">
        <f t="shared" si="21"/>
        <v>36.755555555555553</v>
      </c>
      <c r="K70" s="92">
        <f t="shared" si="17"/>
        <v>271.86666666666667</v>
      </c>
    </row>
    <row r="71" spans="1:11" ht="13.5" thickBot="1" x14ac:dyDescent="0.25">
      <c r="A71" s="90" t="s">
        <v>24</v>
      </c>
      <c r="B71" s="89"/>
      <c r="C71" s="90"/>
      <c r="D71" s="93">
        <f t="shared" ref="D71:J71" si="22">SUM(D69:D70)</f>
        <v>33</v>
      </c>
      <c r="E71" s="93">
        <f t="shared" si="22"/>
        <v>31</v>
      </c>
      <c r="F71" s="93">
        <f t="shared" si="22"/>
        <v>62.044444444444451</v>
      </c>
      <c r="G71" s="93">
        <f t="shared" si="22"/>
        <v>52</v>
      </c>
      <c r="H71" s="93">
        <f t="shared" si="22"/>
        <v>98</v>
      </c>
      <c r="I71" s="93">
        <f t="shared" si="22"/>
        <v>103.46666666666667</v>
      </c>
      <c r="J71" s="93">
        <f t="shared" si="22"/>
        <v>63.577777777777776</v>
      </c>
      <c r="K71" s="94">
        <f t="shared" si="17"/>
        <v>443.08888888888896</v>
      </c>
    </row>
    <row r="72" spans="1:11" ht="13.5" thickTop="1" x14ac:dyDescent="0.2">
      <c r="D72" s="95"/>
      <c r="E72" s="95"/>
      <c r="F72" s="95"/>
      <c r="G72" s="95"/>
      <c r="H72" s="95"/>
      <c r="I72" s="95"/>
      <c r="J72" s="95"/>
      <c r="K72" s="95"/>
    </row>
    <row r="73" spans="1:11" ht="13.5" thickBot="1" x14ac:dyDescent="0.25">
      <c r="A73" s="90" t="s">
        <v>134</v>
      </c>
      <c r="B73" s="89"/>
      <c r="C73" s="90"/>
      <c r="D73" s="93">
        <f>D2+D3+D10+D11+D18+D19+D26+D27+D34+D35+D42+D43</f>
        <v>3</v>
      </c>
      <c r="E73" s="93">
        <f t="shared" ref="E73:K73" si="23">E2+E3+E10+E11+E18+E19+E26+E27+E34+E35+E42+E43</f>
        <v>3</v>
      </c>
      <c r="F73" s="93">
        <f t="shared" si="23"/>
        <v>13</v>
      </c>
      <c r="G73" s="93">
        <f t="shared" si="23"/>
        <v>8</v>
      </c>
      <c r="H73" s="93">
        <f t="shared" si="23"/>
        <v>19</v>
      </c>
      <c r="I73" s="93">
        <f t="shared" si="23"/>
        <v>19</v>
      </c>
      <c r="J73" s="93">
        <f t="shared" si="23"/>
        <v>11</v>
      </c>
      <c r="K73" s="93">
        <f t="shared" si="23"/>
        <v>76</v>
      </c>
    </row>
    <row r="74" spans="1:11" ht="21" customHeight="1" thickTop="1" x14ac:dyDescent="0.2">
      <c r="A74" s="96" t="s">
        <v>44</v>
      </c>
      <c r="C74" s="96"/>
      <c r="D74" s="7"/>
      <c r="E74" s="7"/>
      <c r="F74" s="7"/>
      <c r="G74" s="7"/>
      <c r="H74" s="7"/>
      <c r="I74" s="7"/>
      <c r="J74" s="7"/>
    </row>
    <row r="75" spans="1:11" x14ac:dyDescent="0.2">
      <c r="A75" s="7" t="s">
        <v>26</v>
      </c>
      <c r="C75" s="7"/>
      <c r="D75" s="280">
        <v>1</v>
      </c>
      <c r="E75" s="280">
        <v>1</v>
      </c>
      <c r="F75" s="280">
        <v>1</v>
      </c>
      <c r="G75" s="280">
        <v>1</v>
      </c>
      <c r="H75" s="280">
        <v>1.5</v>
      </c>
      <c r="I75" s="280">
        <v>1.5</v>
      </c>
      <c r="J75" s="280">
        <v>1</v>
      </c>
      <c r="K75" s="97">
        <f>SUM(D75:J75)</f>
        <v>8</v>
      </c>
    </row>
    <row r="76" spans="1:11" x14ac:dyDescent="0.2">
      <c r="A76" s="7" t="s">
        <v>27</v>
      </c>
      <c r="C76" s="7"/>
      <c r="D76" s="280">
        <v>2.5</v>
      </c>
      <c r="E76" s="280">
        <v>2</v>
      </c>
      <c r="F76" s="280">
        <v>5</v>
      </c>
      <c r="G76" s="280">
        <v>4</v>
      </c>
      <c r="H76" s="280">
        <v>8</v>
      </c>
      <c r="I76" s="280">
        <v>7</v>
      </c>
      <c r="J76" s="280">
        <v>5</v>
      </c>
      <c r="K76" s="97">
        <f>SUM(D76:J76)</f>
        <v>33.5</v>
      </c>
    </row>
    <row r="77" spans="1:11" x14ac:dyDescent="0.2">
      <c r="A77" s="7" t="s">
        <v>135</v>
      </c>
      <c r="C77" s="7"/>
      <c r="D77" s="280"/>
      <c r="E77" s="280"/>
      <c r="F77" s="280"/>
      <c r="G77" s="280"/>
      <c r="H77" s="280"/>
      <c r="I77" s="280"/>
      <c r="J77" s="280"/>
      <c r="K77" s="97">
        <f>SUM(D77:J77)</f>
        <v>0</v>
      </c>
    </row>
    <row r="78" spans="1:11" x14ac:dyDescent="0.2">
      <c r="A78" s="7" t="s">
        <v>136</v>
      </c>
      <c r="C78" s="7"/>
      <c r="D78" s="280"/>
      <c r="E78" s="280"/>
      <c r="F78" s="280"/>
      <c r="G78" s="280"/>
      <c r="H78" s="280"/>
      <c r="I78" s="280"/>
      <c r="J78" s="280"/>
      <c r="K78" s="97">
        <f>SUM(D78:J78)</f>
        <v>0</v>
      </c>
    </row>
    <row r="79" spans="1:11" x14ac:dyDescent="0.2">
      <c r="A79" s="7" t="s">
        <v>137</v>
      </c>
      <c r="C79" s="7"/>
      <c r="D79" s="280">
        <v>4</v>
      </c>
      <c r="E79" s="280">
        <v>4</v>
      </c>
      <c r="F79" s="280">
        <v>8</v>
      </c>
      <c r="G79" s="280">
        <v>8</v>
      </c>
      <c r="H79" s="280">
        <v>14</v>
      </c>
      <c r="I79" s="280">
        <v>14</v>
      </c>
      <c r="J79" s="280">
        <v>9.4</v>
      </c>
      <c r="K79" s="97">
        <f>SUM(D79:J79)</f>
        <v>61.4</v>
      </c>
    </row>
    <row r="80" spans="1:11" ht="13.5" thickBot="1" x14ac:dyDescent="0.25">
      <c r="A80" s="98" t="s">
        <v>28</v>
      </c>
      <c r="B80" s="89"/>
      <c r="C80" s="98"/>
      <c r="D80" s="99">
        <f t="shared" ref="D80:K80" si="24">SUM(D75:D79)</f>
        <v>7.5</v>
      </c>
      <c r="E80" s="99">
        <f t="shared" si="24"/>
        <v>7</v>
      </c>
      <c r="F80" s="99">
        <f t="shared" si="24"/>
        <v>14</v>
      </c>
      <c r="G80" s="99">
        <f t="shared" si="24"/>
        <v>13</v>
      </c>
      <c r="H80" s="99">
        <f t="shared" si="24"/>
        <v>23.5</v>
      </c>
      <c r="I80" s="99">
        <f t="shared" si="24"/>
        <v>22.5</v>
      </c>
      <c r="J80" s="99">
        <f t="shared" si="24"/>
        <v>15.4</v>
      </c>
      <c r="K80" s="99">
        <f t="shared" si="24"/>
        <v>102.9</v>
      </c>
    </row>
    <row r="81" spans="1:11" ht="13.5" thickTop="1" x14ac:dyDescent="0.2">
      <c r="A81" s="7"/>
      <c r="C81" s="7"/>
      <c r="D81" s="7"/>
      <c r="E81" s="7"/>
      <c r="F81" s="7"/>
      <c r="G81" s="7"/>
      <c r="H81" s="7"/>
      <c r="I81" s="7"/>
      <c r="J81" s="7"/>
    </row>
    <row r="82" spans="1:11" ht="13.5" thickBot="1" x14ac:dyDescent="0.25">
      <c r="A82" s="100" t="s">
        <v>76</v>
      </c>
      <c r="B82" s="89"/>
      <c r="C82" s="100"/>
      <c r="D82" s="101">
        <f t="shared" ref="D82:K82" si="25">(D69*2+D70)/D80</f>
        <v>5.6</v>
      </c>
      <c r="E82" s="101">
        <f t="shared" si="25"/>
        <v>5.7142857142857144</v>
      </c>
      <c r="F82" s="101">
        <f t="shared" si="25"/>
        <v>6.1412698412698417</v>
      </c>
      <c r="G82" s="101">
        <f t="shared" si="25"/>
        <v>5.5384615384615383</v>
      </c>
      <c r="H82" s="101">
        <f t="shared" si="25"/>
        <v>6.042553191489362</v>
      </c>
      <c r="I82" s="101">
        <f t="shared" si="25"/>
        <v>6.3081481481481481</v>
      </c>
      <c r="J82" s="101">
        <f t="shared" si="25"/>
        <v>5.8701298701298708</v>
      </c>
      <c r="K82" s="101">
        <f t="shared" si="25"/>
        <v>5.9699816434510309</v>
      </c>
    </row>
    <row r="83" spans="1:11" ht="13.5" thickTop="1" x14ac:dyDescent="0.2">
      <c r="A83" s="7"/>
      <c r="C83" s="7"/>
      <c r="D83" s="7"/>
      <c r="E83" s="7"/>
      <c r="F83" s="7"/>
      <c r="G83" s="7"/>
      <c r="H83" s="7"/>
      <c r="I83" s="7"/>
      <c r="J83" s="7"/>
    </row>
    <row r="84" spans="1:11" ht="13.5" thickBot="1" x14ac:dyDescent="0.25">
      <c r="A84" s="100" t="s">
        <v>95</v>
      </c>
      <c r="B84" s="89"/>
      <c r="C84" s="100"/>
      <c r="D84" s="102">
        <f t="shared" ref="D84:K84" si="26">(D69*2+D70)/D75</f>
        <v>42</v>
      </c>
      <c r="E84" s="102">
        <f t="shared" si="26"/>
        <v>40</v>
      </c>
      <c r="F84" s="102">
        <f t="shared" si="26"/>
        <v>85.977777777777789</v>
      </c>
      <c r="G84" s="102">
        <f t="shared" si="26"/>
        <v>72</v>
      </c>
      <c r="H84" s="102">
        <f t="shared" si="26"/>
        <v>94.666666666666671</v>
      </c>
      <c r="I84" s="102">
        <f t="shared" si="26"/>
        <v>94.62222222222222</v>
      </c>
      <c r="J84" s="102">
        <f t="shared" si="26"/>
        <v>90.4</v>
      </c>
      <c r="K84" s="102">
        <f t="shared" si="26"/>
        <v>76.788888888888891</v>
      </c>
    </row>
    <row r="85" spans="1:11" ht="25.35" customHeight="1" thickTop="1" thickBot="1" x14ac:dyDescent="0.25">
      <c r="A85" s="100" t="s">
        <v>96</v>
      </c>
      <c r="B85" s="89"/>
      <c r="C85" s="100"/>
      <c r="D85" s="102">
        <f t="shared" ref="D85:K85" si="27">(D69*2+D70)/(D80-D75)</f>
        <v>6.4615384615384617</v>
      </c>
      <c r="E85" s="102">
        <f t="shared" si="27"/>
        <v>6.666666666666667</v>
      </c>
      <c r="F85" s="102">
        <f t="shared" si="27"/>
        <v>6.6136752136752142</v>
      </c>
      <c r="G85" s="102">
        <f t="shared" si="27"/>
        <v>6</v>
      </c>
      <c r="H85" s="102">
        <f t="shared" si="27"/>
        <v>6.4545454545454541</v>
      </c>
      <c r="I85" s="102">
        <f t="shared" si="27"/>
        <v>6.7587301587301587</v>
      </c>
      <c r="J85" s="102">
        <f t="shared" si="27"/>
        <v>6.2777777777777777</v>
      </c>
      <c r="K85" s="102">
        <f t="shared" si="27"/>
        <v>6.473246692424774</v>
      </c>
    </row>
    <row r="86" spans="1:11" ht="13.5" thickTop="1" x14ac:dyDescent="0.2"/>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0"/>
  <sheetViews>
    <sheetView topLeftCell="C1" zoomScaleNormal="100" zoomScaleSheetLayoutView="75" workbookViewId="0">
      <pane ySplit="1" topLeftCell="A2" activePane="bottomLeft" state="frozen"/>
      <selection pane="bottomLeft" activeCell="J31" sqref="J31"/>
    </sheetView>
  </sheetViews>
  <sheetFormatPr baseColWidth="10" defaultColWidth="11.42578125" defaultRowHeight="12.75" x14ac:dyDescent="0.2"/>
  <cols>
    <col min="1" max="1" width="7.5703125" style="7" customWidth="1"/>
    <col min="2" max="2" width="22.7109375" style="7" customWidth="1"/>
    <col min="3" max="3" width="11.5703125" style="8" customWidth="1"/>
    <col min="4" max="4" width="10.5703125" style="8" customWidth="1"/>
    <col min="5" max="5" width="7.28515625" style="8" customWidth="1"/>
    <col min="6" max="6" width="18.5703125" style="9" customWidth="1"/>
    <col min="7" max="7" width="10.7109375" style="240" customWidth="1"/>
    <col min="8" max="8" width="24.5703125" style="238" customWidth="1"/>
    <col min="9" max="9" width="17.42578125" style="14" customWidth="1"/>
    <col min="10" max="10" width="13.7109375" style="14" customWidth="1"/>
    <col min="11" max="11" width="19.28515625" style="14" customWidth="1"/>
    <col min="12" max="12" width="21" style="237" customWidth="1"/>
    <col min="13" max="16384" width="11.42578125" style="14"/>
  </cols>
  <sheetData>
    <row r="1" spans="1:12" s="26" customFormat="1" x14ac:dyDescent="0.2">
      <c r="A1" s="229" t="s">
        <v>29</v>
      </c>
      <c r="B1" s="230" t="s">
        <v>78</v>
      </c>
      <c r="C1" s="230" t="s">
        <v>79</v>
      </c>
      <c r="D1" s="17" t="s">
        <v>80</v>
      </c>
      <c r="E1" s="8" t="s">
        <v>82</v>
      </c>
      <c r="F1" s="18" t="s">
        <v>83</v>
      </c>
      <c r="G1" s="30" t="s">
        <v>90</v>
      </c>
      <c r="H1" s="231" t="s">
        <v>85</v>
      </c>
      <c r="I1" s="26" t="s">
        <v>57</v>
      </c>
      <c r="K1" s="26" t="s">
        <v>140</v>
      </c>
      <c r="L1" s="120" t="s">
        <v>141</v>
      </c>
    </row>
    <row r="2" spans="1:12" x14ac:dyDescent="0.2">
      <c r="A2" s="232" t="s">
        <v>282</v>
      </c>
      <c r="B2" s="233" t="s">
        <v>283</v>
      </c>
      <c r="C2" s="233">
        <v>2010</v>
      </c>
      <c r="D2" s="109" t="s">
        <v>284</v>
      </c>
      <c r="E2" s="110">
        <v>10810</v>
      </c>
      <c r="F2" s="234" t="s">
        <v>285</v>
      </c>
      <c r="G2" s="235">
        <v>-4037.4922671400004</v>
      </c>
      <c r="H2" s="236" t="s">
        <v>286</v>
      </c>
      <c r="K2" s="14" t="s">
        <v>138</v>
      </c>
      <c r="L2" s="237">
        <f>SUMIF(H:H,K2,G:G)</f>
        <v>45771426.132705837</v>
      </c>
    </row>
    <row r="3" spans="1:12" x14ac:dyDescent="0.2">
      <c r="A3" s="232" t="s">
        <v>287</v>
      </c>
      <c r="B3" s="233" t="s">
        <v>288</v>
      </c>
      <c r="C3" s="233">
        <v>2010</v>
      </c>
      <c r="D3" s="109" t="s">
        <v>284</v>
      </c>
      <c r="E3" s="110">
        <v>10930</v>
      </c>
      <c r="F3" s="234" t="s">
        <v>289</v>
      </c>
      <c r="G3" s="235">
        <v>53121.923900000002</v>
      </c>
      <c r="H3" s="236" t="s">
        <v>86</v>
      </c>
      <c r="K3" s="14" t="s">
        <v>86</v>
      </c>
      <c r="L3" s="237">
        <f t="shared" ref="L3:L10" si="0">SUMIF(H:H,K3,G:G)</f>
        <v>6028872.9241763437</v>
      </c>
    </row>
    <row r="4" spans="1:12" x14ac:dyDescent="0.2">
      <c r="A4" s="232" t="s">
        <v>287</v>
      </c>
      <c r="B4" s="233" t="s">
        <v>288</v>
      </c>
      <c r="C4" s="233">
        <v>2010</v>
      </c>
      <c r="D4" s="109" t="s">
        <v>284</v>
      </c>
      <c r="E4" s="110">
        <v>11860</v>
      </c>
      <c r="F4" s="234" t="s">
        <v>290</v>
      </c>
      <c r="G4" s="235">
        <v>66684.968299999993</v>
      </c>
      <c r="H4" s="236" t="s">
        <v>86</v>
      </c>
      <c r="K4" s="14" t="s">
        <v>87</v>
      </c>
      <c r="L4" s="237">
        <f t="shared" si="0"/>
        <v>554406.73273161007</v>
      </c>
    </row>
    <row r="5" spans="1:12" x14ac:dyDescent="0.2">
      <c r="A5" s="232" t="s">
        <v>287</v>
      </c>
      <c r="B5" s="233" t="s">
        <v>288</v>
      </c>
      <c r="C5" s="233">
        <v>2010</v>
      </c>
      <c r="D5" s="109" t="s">
        <v>284</v>
      </c>
      <c r="E5" s="110">
        <v>17700</v>
      </c>
      <c r="F5" s="234" t="s">
        <v>291</v>
      </c>
      <c r="G5" s="235">
        <v>-97201.818200000009</v>
      </c>
      <c r="H5" s="236" t="s">
        <v>286</v>
      </c>
      <c r="K5" s="14" t="s">
        <v>89</v>
      </c>
      <c r="L5" s="237">
        <f t="shared" si="0"/>
        <v>-4329498.3401639648</v>
      </c>
    </row>
    <row r="6" spans="1:12" x14ac:dyDescent="0.2">
      <c r="A6" s="232" t="s">
        <v>292</v>
      </c>
      <c r="B6" s="233" t="s">
        <v>293</v>
      </c>
      <c r="C6" s="233">
        <v>2010</v>
      </c>
      <c r="D6" s="109" t="s">
        <v>284</v>
      </c>
      <c r="E6" s="110">
        <v>11020</v>
      </c>
      <c r="F6" s="234" t="s">
        <v>294</v>
      </c>
      <c r="G6" s="235">
        <v>8038.3643144000007</v>
      </c>
      <c r="H6" s="236" t="s">
        <v>86</v>
      </c>
      <c r="I6" s="29"/>
      <c r="K6" s="14" t="s">
        <v>88</v>
      </c>
      <c r="L6" s="237">
        <f t="shared" si="0"/>
        <v>-554350.93210644112</v>
      </c>
    </row>
    <row r="7" spans="1:12" x14ac:dyDescent="0.2">
      <c r="A7" s="232" t="s">
        <v>292</v>
      </c>
      <c r="B7" s="233" t="s">
        <v>293</v>
      </c>
      <c r="C7" s="233">
        <v>2010</v>
      </c>
      <c r="D7" s="109" t="s">
        <v>284</v>
      </c>
      <c r="E7" s="110">
        <v>11400</v>
      </c>
      <c r="F7" s="234" t="s">
        <v>295</v>
      </c>
      <c r="G7" s="235">
        <v>63991.144236494009</v>
      </c>
      <c r="H7" s="236" t="s">
        <v>86</v>
      </c>
      <c r="K7" s="14" t="s">
        <v>139</v>
      </c>
      <c r="L7" s="237">
        <f t="shared" si="0"/>
        <v>-1284354.9986212139</v>
      </c>
    </row>
    <row r="8" spans="1:12" ht="12.75" customHeight="1" x14ac:dyDescent="0.2">
      <c r="A8" s="232" t="s">
        <v>292</v>
      </c>
      <c r="B8" s="233" t="s">
        <v>293</v>
      </c>
      <c r="C8" s="233">
        <v>2010</v>
      </c>
      <c r="D8" s="109" t="s">
        <v>284</v>
      </c>
      <c r="E8" s="110">
        <v>14290</v>
      </c>
      <c r="F8" s="234" t="s">
        <v>296</v>
      </c>
      <c r="G8" s="235">
        <v>18007.382788991999</v>
      </c>
      <c r="H8" s="236" t="s">
        <v>87</v>
      </c>
      <c r="I8" s="29"/>
      <c r="K8" s="14" t="s">
        <v>145</v>
      </c>
      <c r="L8" s="237">
        <f t="shared" si="0"/>
        <v>0</v>
      </c>
    </row>
    <row r="9" spans="1:12" x14ac:dyDescent="0.2">
      <c r="A9" s="232" t="s">
        <v>292</v>
      </c>
      <c r="B9" s="233" t="s">
        <v>293</v>
      </c>
      <c r="C9" s="233">
        <v>2010</v>
      </c>
      <c r="D9" s="109" t="s">
        <v>284</v>
      </c>
      <c r="E9" s="110">
        <v>17290</v>
      </c>
      <c r="F9" s="234" t="s">
        <v>297</v>
      </c>
      <c r="G9" s="235">
        <v>-18007.382788991999</v>
      </c>
      <c r="H9" s="236" t="s">
        <v>88</v>
      </c>
      <c r="I9" s="29"/>
      <c r="K9" s="14" t="s">
        <v>155</v>
      </c>
      <c r="L9" s="237">
        <f t="shared" si="0"/>
        <v>5916602.5636479398</v>
      </c>
    </row>
    <row r="10" spans="1:12" x14ac:dyDescent="0.2">
      <c r="A10" s="232" t="s">
        <v>298</v>
      </c>
      <c r="B10" s="233" t="s">
        <v>299</v>
      </c>
      <c r="C10" s="233">
        <v>2010</v>
      </c>
      <c r="D10" s="109" t="s">
        <v>284</v>
      </c>
      <c r="E10" s="110">
        <v>10525</v>
      </c>
      <c r="F10" s="234" t="s">
        <v>300</v>
      </c>
      <c r="G10" s="235">
        <v>69042.948779087994</v>
      </c>
      <c r="H10" s="236" t="s">
        <v>138</v>
      </c>
      <c r="I10" s="29"/>
      <c r="K10" s="14" t="s">
        <v>231</v>
      </c>
      <c r="L10" s="237">
        <f t="shared" si="0"/>
        <v>6616216.2330466686</v>
      </c>
    </row>
    <row r="11" spans="1:12" x14ac:dyDescent="0.2">
      <c r="A11" s="232" t="s">
        <v>298</v>
      </c>
      <c r="B11" s="233" t="s">
        <v>299</v>
      </c>
      <c r="C11" s="233">
        <v>2010</v>
      </c>
      <c r="D11" s="109" t="s">
        <v>284</v>
      </c>
      <c r="E11" s="110">
        <v>10910</v>
      </c>
      <c r="F11" s="234" t="s">
        <v>301</v>
      </c>
      <c r="G11" s="235">
        <v>9321.2022639000006</v>
      </c>
      <c r="H11" s="236" t="s">
        <v>155</v>
      </c>
      <c r="I11" s="29"/>
    </row>
    <row r="12" spans="1:12" x14ac:dyDescent="0.2">
      <c r="A12" s="232" t="s">
        <v>298</v>
      </c>
      <c r="B12" s="233" t="s">
        <v>299</v>
      </c>
      <c r="C12" s="233">
        <v>2010</v>
      </c>
      <c r="D12" s="109" t="s">
        <v>284</v>
      </c>
      <c r="E12" s="110">
        <v>10990</v>
      </c>
      <c r="F12" s="234" t="s">
        <v>84</v>
      </c>
      <c r="G12" s="235">
        <v>11569.2768732</v>
      </c>
      <c r="H12" s="236" t="s">
        <v>231</v>
      </c>
      <c r="I12" s="29"/>
    </row>
    <row r="13" spans="1:12" x14ac:dyDescent="0.2">
      <c r="A13" s="232" t="s">
        <v>298</v>
      </c>
      <c r="B13" s="233" t="s">
        <v>299</v>
      </c>
      <c r="C13" s="233">
        <v>2010</v>
      </c>
      <c r="D13" s="109" t="s">
        <v>284</v>
      </c>
      <c r="E13" s="110">
        <v>17300</v>
      </c>
      <c r="F13" s="234" t="s">
        <v>302</v>
      </c>
      <c r="G13" s="235">
        <v>-29937.312315325002</v>
      </c>
      <c r="H13" s="236" t="s">
        <v>303</v>
      </c>
      <c r="I13" s="29"/>
    </row>
    <row r="14" spans="1:12" x14ac:dyDescent="0.2">
      <c r="A14" s="232" t="s">
        <v>304</v>
      </c>
      <c r="B14" s="233" t="s">
        <v>305</v>
      </c>
      <c r="C14" s="233">
        <v>2010</v>
      </c>
      <c r="D14" s="109" t="s">
        <v>284</v>
      </c>
      <c r="E14" s="110">
        <v>10100</v>
      </c>
      <c r="F14" s="234" t="s">
        <v>306</v>
      </c>
      <c r="G14" s="235">
        <v>98332.071899999995</v>
      </c>
      <c r="H14" s="236" t="s">
        <v>307</v>
      </c>
      <c r="I14" s="29"/>
    </row>
    <row r="15" spans="1:12" x14ac:dyDescent="0.2">
      <c r="A15" s="232" t="s">
        <v>304</v>
      </c>
      <c r="B15" s="233" t="s">
        <v>305</v>
      </c>
      <c r="C15" s="233">
        <v>2010</v>
      </c>
      <c r="D15" s="109" t="s">
        <v>284</v>
      </c>
      <c r="E15" s="110">
        <v>10910</v>
      </c>
      <c r="F15" s="234" t="s">
        <v>301</v>
      </c>
      <c r="G15" s="235">
        <v>13563.044400000001</v>
      </c>
      <c r="H15" s="236" t="s">
        <v>307</v>
      </c>
      <c r="I15" s="29"/>
    </row>
    <row r="16" spans="1:12" x14ac:dyDescent="0.2">
      <c r="A16" s="232" t="s">
        <v>304</v>
      </c>
      <c r="B16" s="233" t="s">
        <v>305</v>
      </c>
      <c r="C16" s="233">
        <v>2010</v>
      </c>
      <c r="D16" s="109" t="s">
        <v>284</v>
      </c>
      <c r="E16" s="110">
        <v>10990</v>
      </c>
      <c r="F16" s="234" t="s">
        <v>84</v>
      </c>
      <c r="G16" s="235">
        <v>15823.551799999999</v>
      </c>
      <c r="H16" s="236" t="s">
        <v>307</v>
      </c>
      <c r="I16" s="29"/>
    </row>
    <row r="17" spans="1:14" x14ac:dyDescent="0.2">
      <c r="A17" s="232" t="s">
        <v>308</v>
      </c>
      <c r="B17" s="233" t="s">
        <v>309</v>
      </c>
      <c r="C17" s="233">
        <v>2010</v>
      </c>
      <c r="D17" s="109" t="s">
        <v>284</v>
      </c>
      <c r="E17" s="110">
        <v>11010</v>
      </c>
      <c r="F17" s="234" t="s">
        <v>310</v>
      </c>
      <c r="G17" s="235">
        <v>47755.479332399998</v>
      </c>
      <c r="H17" s="236" t="s">
        <v>86</v>
      </c>
      <c r="I17" s="29"/>
    </row>
    <row r="18" spans="1:14" x14ac:dyDescent="0.2">
      <c r="A18" s="232" t="s">
        <v>308</v>
      </c>
      <c r="B18" s="233" t="s">
        <v>309</v>
      </c>
      <c r="C18" s="233">
        <v>2010</v>
      </c>
      <c r="D18" s="109" t="s">
        <v>284</v>
      </c>
      <c r="E18" s="110">
        <v>11200</v>
      </c>
      <c r="F18" s="234" t="s">
        <v>311</v>
      </c>
      <c r="G18" s="235">
        <v>35037.864699999998</v>
      </c>
      <c r="H18" s="236" t="s">
        <v>86</v>
      </c>
      <c r="I18" s="29"/>
      <c r="M18"/>
    </row>
    <row r="19" spans="1:14" x14ac:dyDescent="0.2">
      <c r="A19" s="232" t="s">
        <v>308</v>
      </c>
      <c r="B19" s="233" t="s">
        <v>309</v>
      </c>
      <c r="C19" s="233">
        <v>2010</v>
      </c>
      <c r="D19" s="109" t="s">
        <v>284</v>
      </c>
      <c r="E19" s="110">
        <v>11300</v>
      </c>
      <c r="F19" s="234" t="s">
        <v>312</v>
      </c>
      <c r="G19" s="235">
        <v>36168.118399999999</v>
      </c>
      <c r="H19" s="236" t="s">
        <v>86</v>
      </c>
      <c r="I19" s="29"/>
      <c r="M19"/>
    </row>
    <row r="20" spans="1:14" ht="12.75" customHeight="1" x14ac:dyDescent="0.2">
      <c r="A20" s="232" t="s">
        <v>308</v>
      </c>
      <c r="B20" s="233" t="s">
        <v>309</v>
      </c>
      <c r="C20" s="233">
        <v>2010</v>
      </c>
      <c r="D20" s="109" t="s">
        <v>284</v>
      </c>
      <c r="E20" s="110">
        <v>11310</v>
      </c>
      <c r="F20" s="234" t="s">
        <v>313</v>
      </c>
      <c r="G20" s="235">
        <v>81378.266400000008</v>
      </c>
      <c r="H20" s="236" t="s">
        <v>86</v>
      </c>
      <c r="I20" s="29"/>
      <c r="K20" s="241" t="s">
        <v>244</v>
      </c>
      <c r="L20" t="s">
        <v>245</v>
      </c>
      <c r="M20"/>
      <c r="N20" s="264" t="s">
        <v>270</v>
      </c>
    </row>
    <row r="21" spans="1:14" x14ac:dyDescent="0.2">
      <c r="A21" s="232" t="s">
        <v>308</v>
      </c>
      <c r="B21" s="233" t="s">
        <v>309</v>
      </c>
      <c r="C21" s="233">
        <v>2010</v>
      </c>
      <c r="D21" s="109" t="s">
        <v>284</v>
      </c>
      <c r="E21" s="110">
        <v>12000</v>
      </c>
      <c r="F21" s="234" t="s">
        <v>314</v>
      </c>
      <c r="G21" s="235">
        <v>65554.714600000007</v>
      </c>
      <c r="H21" s="236" t="s">
        <v>86</v>
      </c>
      <c r="I21" s="29"/>
      <c r="K21" s="242" t="s">
        <v>138</v>
      </c>
      <c r="L21" s="243">
        <v>45771426.132705837</v>
      </c>
      <c r="M21"/>
    </row>
    <row r="22" spans="1:14" ht="12.75" customHeight="1" x14ac:dyDescent="0.2">
      <c r="A22" s="232" t="s">
        <v>308</v>
      </c>
      <c r="B22" s="233" t="s">
        <v>309</v>
      </c>
      <c r="C22" s="233">
        <v>2010</v>
      </c>
      <c r="D22" s="109" t="s">
        <v>284</v>
      </c>
      <c r="E22" s="110">
        <v>14290</v>
      </c>
      <c r="F22" s="234" t="s">
        <v>296</v>
      </c>
      <c r="G22" s="235">
        <v>2331.7133831000001</v>
      </c>
      <c r="H22" s="236" t="s">
        <v>87</v>
      </c>
      <c r="I22" s="29"/>
      <c r="K22" s="242" t="s">
        <v>86</v>
      </c>
      <c r="L22" s="243">
        <v>6028872.9241763437</v>
      </c>
      <c r="M22"/>
    </row>
    <row r="23" spans="1:14" x14ac:dyDescent="0.2">
      <c r="A23" s="232" t="s">
        <v>308</v>
      </c>
      <c r="B23" s="233" t="s">
        <v>309</v>
      </c>
      <c r="C23" s="233">
        <v>2010</v>
      </c>
      <c r="D23" s="109" t="s">
        <v>284</v>
      </c>
      <c r="E23" s="110">
        <v>17290</v>
      </c>
      <c r="F23" s="234" t="s">
        <v>297</v>
      </c>
      <c r="G23" s="235">
        <v>-2331.7133831000001</v>
      </c>
      <c r="H23" s="236" t="s">
        <v>88</v>
      </c>
      <c r="I23" s="29"/>
      <c r="K23" s="242" t="s">
        <v>87</v>
      </c>
      <c r="L23" s="243">
        <v>554406.73273161007</v>
      </c>
      <c r="M23"/>
    </row>
    <row r="24" spans="1:14" x14ac:dyDescent="0.2">
      <c r="A24" s="232" t="s">
        <v>315</v>
      </c>
      <c r="B24" s="233" t="s">
        <v>316</v>
      </c>
      <c r="C24" s="233">
        <v>2010</v>
      </c>
      <c r="D24" s="109" t="s">
        <v>284</v>
      </c>
      <c r="E24" s="110">
        <v>11980</v>
      </c>
      <c r="F24" s="234" t="s">
        <v>317</v>
      </c>
      <c r="G24" s="235">
        <v>435147.67450000002</v>
      </c>
      <c r="H24" s="236" t="s">
        <v>86</v>
      </c>
      <c r="K24" s="242" t="s">
        <v>89</v>
      </c>
      <c r="L24" s="243">
        <v>-4329498.3401639648</v>
      </c>
      <c r="M24"/>
    </row>
    <row r="25" spans="1:14" x14ac:dyDescent="0.2">
      <c r="A25" s="232" t="s">
        <v>315</v>
      </c>
      <c r="B25" s="233" t="s">
        <v>316</v>
      </c>
      <c r="C25" s="233">
        <v>2010</v>
      </c>
      <c r="D25" s="109" t="s">
        <v>284</v>
      </c>
      <c r="E25" s="110">
        <v>12071</v>
      </c>
      <c r="F25" s="234" t="s">
        <v>318</v>
      </c>
      <c r="G25" s="235">
        <v>105113.59410000002</v>
      </c>
      <c r="H25" s="236" t="s">
        <v>86</v>
      </c>
      <c r="K25" s="242" t="s">
        <v>88</v>
      </c>
      <c r="L25" s="243">
        <v>-554350.93210644112</v>
      </c>
      <c r="M25"/>
    </row>
    <row r="26" spans="1:14" ht="12.75" customHeight="1" x14ac:dyDescent="0.2">
      <c r="A26" s="232" t="s">
        <v>315</v>
      </c>
      <c r="B26" s="233" t="s">
        <v>316</v>
      </c>
      <c r="C26" s="233">
        <v>2010</v>
      </c>
      <c r="D26" s="109" t="s">
        <v>284</v>
      </c>
      <c r="E26" s="110">
        <v>12470</v>
      </c>
      <c r="F26" s="234" t="s">
        <v>319</v>
      </c>
      <c r="G26" s="235">
        <v>76857.251600000003</v>
      </c>
      <c r="H26" s="236" t="s">
        <v>86</v>
      </c>
      <c r="K26" s="242" t="s">
        <v>139</v>
      </c>
      <c r="L26" s="243">
        <v>-1284354.9986212139</v>
      </c>
      <c r="M26"/>
    </row>
    <row r="27" spans="1:14" x14ac:dyDescent="0.2">
      <c r="A27" s="232" t="s">
        <v>315</v>
      </c>
      <c r="B27" s="233" t="s">
        <v>316</v>
      </c>
      <c r="C27" s="233">
        <v>2010</v>
      </c>
      <c r="D27" s="109" t="s">
        <v>284</v>
      </c>
      <c r="E27" s="110">
        <v>12700</v>
      </c>
      <c r="F27" s="234" t="s">
        <v>320</v>
      </c>
      <c r="G27" s="235">
        <v>73466.4905</v>
      </c>
      <c r="H27" s="236" t="s">
        <v>86</v>
      </c>
      <c r="K27" s="242" t="s">
        <v>155</v>
      </c>
      <c r="L27" s="243">
        <v>5916602.5636479398</v>
      </c>
      <c r="M27"/>
    </row>
    <row r="28" spans="1:14" x14ac:dyDescent="0.2">
      <c r="A28" s="232" t="s">
        <v>321</v>
      </c>
      <c r="B28" s="233" t="s">
        <v>322</v>
      </c>
      <c r="C28" s="233">
        <v>2010</v>
      </c>
      <c r="D28" s="109" t="s">
        <v>284</v>
      </c>
      <c r="E28" s="110">
        <v>10100</v>
      </c>
      <c r="F28" s="234" t="s">
        <v>306</v>
      </c>
      <c r="G28" s="235">
        <v>102436.50909379098</v>
      </c>
      <c r="H28" s="236" t="s">
        <v>307</v>
      </c>
      <c r="K28" s="242" t="s">
        <v>231</v>
      </c>
      <c r="L28" s="243">
        <v>6616216.2330466686</v>
      </c>
      <c r="M28"/>
    </row>
    <row r="29" spans="1:14" x14ac:dyDescent="0.2">
      <c r="A29" s="232" t="s">
        <v>321</v>
      </c>
      <c r="B29" s="233" t="s">
        <v>322</v>
      </c>
      <c r="C29" s="233">
        <v>2010</v>
      </c>
      <c r="D29" s="109" t="s">
        <v>284</v>
      </c>
      <c r="E29" s="110">
        <v>10910</v>
      </c>
      <c r="F29" s="234" t="s">
        <v>301</v>
      </c>
      <c r="G29" s="235">
        <v>13796.068805329</v>
      </c>
      <c r="H29" s="236" t="s">
        <v>307</v>
      </c>
      <c r="K29" s="242" t="s">
        <v>377</v>
      </c>
      <c r="L29" s="243">
        <v>-44849.597069700001</v>
      </c>
      <c r="M29"/>
    </row>
    <row r="30" spans="1:14" x14ac:dyDescent="0.2">
      <c r="A30" s="232" t="s">
        <v>321</v>
      </c>
      <c r="B30" s="233" t="s">
        <v>322</v>
      </c>
      <c r="C30" s="233">
        <v>2010</v>
      </c>
      <c r="D30" s="109" t="s">
        <v>284</v>
      </c>
      <c r="E30" s="110">
        <v>10990</v>
      </c>
      <c r="F30" s="234" t="s">
        <v>84</v>
      </c>
      <c r="G30" s="235">
        <v>16388.633439851998</v>
      </c>
      <c r="H30" s="236" t="s">
        <v>307</v>
      </c>
      <c r="K30" s="242" t="s">
        <v>399</v>
      </c>
      <c r="L30" s="243">
        <v>79173.141431299999</v>
      </c>
      <c r="M30"/>
    </row>
    <row r="31" spans="1:14" x14ac:dyDescent="0.2">
      <c r="A31" s="232" t="s">
        <v>323</v>
      </c>
      <c r="B31" s="233" t="s">
        <v>324</v>
      </c>
      <c r="C31" s="233">
        <v>2010</v>
      </c>
      <c r="D31" s="109" t="s">
        <v>284</v>
      </c>
      <c r="E31" s="110">
        <v>10100</v>
      </c>
      <c r="F31" s="234" t="s">
        <v>306</v>
      </c>
      <c r="G31" s="235">
        <v>40416.459494874995</v>
      </c>
      <c r="H31" s="236" t="s">
        <v>286</v>
      </c>
      <c r="K31" s="242" t="s">
        <v>307</v>
      </c>
      <c r="L31" s="243">
        <v>3193269.8817524896</v>
      </c>
      <c r="M31"/>
    </row>
    <row r="32" spans="1:14" x14ac:dyDescent="0.2">
      <c r="A32" s="232" t="s">
        <v>323</v>
      </c>
      <c r="B32" s="233" t="s">
        <v>324</v>
      </c>
      <c r="C32" s="233">
        <v>2010</v>
      </c>
      <c r="D32" s="109" t="s">
        <v>284</v>
      </c>
      <c r="E32" s="110">
        <v>10200</v>
      </c>
      <c r="F32" s="234" t="s">
        <v>325</v>
      </c>
      <c r="G32" s="235">
        <v>2916.2127815179997</v>
      </c>
      <c r="H32" s="236" t="s">
        <v>286</v>
      </c>
      <c r="K32" s="242" t="s">
        <v>286</v>
      </c>
      <c r="L32" s="243">
        <v>-269793.53613397502</v>
      </c>
      <c r="M32"/>
    </row>
    <row r="33" spans="1:13" x14ac:dyDescent="0.2">
      <c r="A33" s="232" t="s">
        <v>323</v>
      </c>
      <c r="B33" s="233" t="s">
        <v>324</v>
      </c>
      <c r="C33" s="233">
        <v>2010</v>
      </c>
      <c r="D33" s="109" t="s">
        <v>284</v>
      </c>
      <c r="E33" s="110">
        <v>10920</v>
      </c>
      <c r="F33" s="234" t="s">
        <v>326</v>
      </c>
      <c r="G33" s="235">
        <v>6579.5458638099999</v>
      </c>
      <c r="H33" s="236" t="s">
        <v>286</v>
      </c>
      <c r="K33" s="242" t="s">
        <v>352</v>
      </c>
      <c r="L33" s="243">
        <v>-11667520.785311401</v>
      </c>
      <c r="M33"/>
    </row>
    <row r="34" spans="1:13" x14ac:dyDescent="0.2">
      <c r="A34" s="232" t="s">
        <v>323</v>
      </c>
      <c r="B34" s="233" t="s">
        <v>324</v>
      </c>
      <c r="C34" s="233">
        <v>2010</v>
      </c>
      <c r="D34" s="109" t="s">
        <v>284</v>
      </c>
      <c r="E34" s="110">
        <v>10990</v>
      </c>
      <c r="F34" s="234" t="s">
        <v>84</v>
      </c>
      <c r="G34" s="235">
        <v>-21668.839650141999</v>
      </c>
      <c r="H34" s="236" t="s">
        <v>286</v>
      </c>
      <c r="K34" s="242" t="s">
        <v>335</v>
      </c>
      <c r="L34" s="243">
        <v>72725.044072799996</v>
      </c>
      <c r="M34"/>
    </row>
    <row r="35" spans="1:13" x14ac:dyDescent="0.2">
      <c r="A35" s="232" t="s">
        <v>323</v>
      </c>
      <c r="B35" s="233" t="s">
        <v>324</v>
      </c>
      <c r="C35" s="233">
        <v>2010</v>
      </c>
      <c r="D35" s="109" t="s">
        <v>284</v>
      </c>
      <c r="E35" s="110">
        <v>11020</v>
      </c>
      <c r="F35" s="234" t="s">
        <v>294</v>
      </c>
      <c r="G35" s="235">
        <v>1859.5272948510001</v>
      </c>
      <c r="H35" s="236" t="s">
        <v>286</v>
      </c>
      <c r="K35" s="242" t="s">
        <v>303</v>
      </c>
      <c r="L35" s="243">
        <v>-29937.312315325002</v>
      </c>
      <c r="M35"/>
    </row>
    <row r="36" spans="1:13" x14ac:dyDescent="0.2">
      <c r="A36" s="232" t="s">
        <v>323</v>
      </c>
      <c r="B36" s="233" t="s">
        <v>324</v>
      </c>
      <c r="C36" s="233">
        <v>2010</v>
      </c>
      <c r="D36" s="109" t="s">
        <v>284</v>
      </c>
      <c r="E36" s="110">
        <v>11150</v>
      </c>
      <c r="F36" s="234" t="s">
        <v>327</v>
      </c>
      <c r="G36" s="235">
        <v>146.93298100000001</v>
      </c>
      <c r="H36" s="239" t="s">
        <v>286</v>
      </c>
      <c r="K36" s="242" t="s">
        <v>357</v>
      </c>
      <c r="L36" s="243">
        <v>-326820.76913089998</v>
      </c>
      <c r="M36"/>
    </row>
    <row r="37" spans="1:13" x14ac:dyDescent="0.2">
      <c r="A37" s="232" t="s">
        <v>323</v>
      </c>
      <c r="B37" s="233" t="s">
        <v>324</v>
      </c>
      <c r="C37" s="233">
        <v>2010</v>
      </c>
      <c r="D37" s="109" t="s">
        <v>284</v>
      </c>
      <c r="E37" s="110">
        <v>12071</v>
      </c>
      <c r="F37" s="234" t="s">
        <v>318</v>
      </c>
      <c r="G37" s="235">
        <v>392.86488358299994</v>
      </c>
      <c r="H37" s="236" t="s">
        <v>286</v>
      </c>
      <c r="K37" s="242" t="s">
        <v>361</v>
      </c>
      <c r="L37" s="243">
        <v>23017089.902275804</v>
      </c>
      <c r="M37"/>
    </row>
    <row r="38" spans="1:13" x14ac:dyDescent="0.2">
      <c r="A38" s="232" t="s">
        <v>323</v>
      </c>
      <c r="B38" s="233" t="s">
        <v>324</v>
      </c>
      <c r="C38" s="233">
        <v>2010</v>
      </c>
      <c r="D38" s="109" t="s">
        <v>284</v>
      </c>
      <c r="E38" s="110">
        <v>17100</v>
      </c>
      <c r="F38" s="234" t="s">
        <v>328</v>
      </c>
      <c r="G38" s="235">
        <v>-192735.38193880001</v>
      </c>
      <c r="H38" s="236" t="s">
        <v>286</v>
      </c>
      <c r="K38" s="242" t="s">
        <v>246</v>
      </c>
      <c r="L38" s="243"/>
      <c r="M38" s="238"/>
    </row>
    <row r="39" spans="1:13" x14ac:dyDescent="0.2">
      <c r="A39" s="232" t="s">
        <v>323</v>
      </c>
      <c r="B39" s="233" t="s">
        <v>324</v>
      </c>
      <c r="C39" s="233">
        <v>2010</v>
      </c>
      <c r="D39" s="109" t="s">
        <v>284</v>
      </c>
      <c r="E39" s="110">
        <v>17110</v>
      </c>
      <c r="F39" s="234" t="s">
        <v>329</v>
      </c>
      <c r="G39" s="235">
        <v>-6461.5473775299997</v>
      </c>
      <c r="H39" s="236" t="s">
        <v>286</v>
      </c>
      <c r="K39" s="242" t="s">
        <v>99</v>
      </c>
      <c r="L39" s="243">
        <v>72742656.284987867</v>
      </c>
    </row>
    <row r="40" spans="1:13" x14ac:dyDescent="0.2">
      <c r="A40" s="232" t="s">
        <v>330</v>
      </c>
      <c r="B40" s="233" t="s">
        <v>331</v>
      </c>
      <c r="C40" s="233">
        <v>2010</v>
      </c>
      <c r="D40" s="109" t="s">
        <v>284</v>
      </c>
      <c r="E40" s="110">
        <v>10100</v>
      </c>
      <c r="F40" s="234" t="s">
        <v>306</v>
      </c>
      <c r="G40" s="235">
        <v>6035165.9055170519</v>
      </c>
      <c r="H40" s="236" t="s">
        <v>138</v>
      </c>
      <c r="K40" s="237"/>
      <c r="L40" s="14"/>
    </row>
    <row r="41" spans="1:13" x14ac:dyDescent="0.2">
      <c r="A41" s="232" t="s">
        <v>330</v>
      </c>
      <c r="B41" s="233" t="s">
        <v>331</v>
      </c>
      <c r="C41" s="233">
        <v>2010</v>
      </c>
      <c r="D41" s="109" t="s">
        <v>284</v>
      </c>
      <c r="E41" s="110">
        <v>10200</v>
      </c>
      <c r="F41" s="234" t="s">
        <v>325</v>
      </c>
      <c r="G41" s="235">
        <v>290633.42511546297</v>
      </c>
      <c r="H41" s="236" t="s">
        <v>138</v>
      </c>
    </row>
    <row r="42" spans="1:13" x14ac:dyDescent="0.2">
      <c r="A42" s="232" t="s">
        <v>330</v>
      </c>
      <c r="B42" s="233" t="s">
        <v>331</v>
      </c>
      <c r="C42" s="233">
        <v>2010</v>
      </c>
      <c r="D42" s="109" t="s">
        <v>284</v>
      </c>
      <c r="E42" s="110">
        <v>10210</v>
      </c>
      <c r="F42" s="234" t="s">
        <v>332</v>
      </c>
      <c r="G42" s="235">
        <v>502007.77561081504</v>
      </c>
      <c r="H42" s="236" t="s">
        <v>138</v>
      </c>
    </row>
    <row r="43" spans="1:13" x14ac:dyDescent="0.2">
      <c r="A43" s="232" t="s">
        <v>330</v>
      </c>
      <c r="B43" s="233" t="s">
        <v>331</v>
      </c>
      <c r="C43" s="233">
        <v>2010</v>
      </c>
      <c r="D43" s="109" t="s">
        <v>284</v>
      </c>
      <c r="E43" s="110">
        <v>10400</v>
      </c>
      <c r="F43" s="234" t="s">
        <v>333</v>
      </c>
      <c r="G43" s="235">
        <v>64005.001146856004</v>
      </c>
      <c r="H43" s="236" t="s">
        <v>138</v>
      </c>
    </row>
    <row r="44" spans="1:13" x14ac:dyDescent="0.2">
      <c r="A44" s="232" t="s">
        <v>330</v>
      </c>
      <c r="B44" s="233" t="s">
        <v>331</v>
      </c>
      <c r="C44" s="233">
        <v>2010</v>
      </c>
      <c r="D44" s="109" t="s">
        <v>284</v>
      </c>
      <c r="E44" s="110">
        <v>10500</v>
      </c>
      <c r="F44" s="234" t="s">
        <v>334</v>
      </c>
      <c r="G44" s="235">
        <v>72725.044072799996</v>
      </c>
      <c r="H44" s="236" t="s">
        <v>335</v>
      </c>
    </row>
    <row r="45" spans="1:13" x14ac:dyDescent="0.2">
      <c r="A45" s="232" t="s">
        <v>330</v>
      </c>
      <c r="B45" s="233" t="s">
        <v>331</v>
      </c>
      <c r="C45" s="233">
        <v>2010</v>
      </c>
      <c r="D45" s="109" t="s">
        <v>284</v>
      </c>
      <c r="E45" s="110">
        <v>10910</v>
      </c>
      <c r="F45" s="234" t="s">
        <v>301</v>
      </c>
      <c r="G45" s="235">
        <v>861316.794447792</v>
      </c>
      <c r="H45" s="236" t="s">
        <v>155</v>
      </c>
    </row>
    <row r="46" spans="1:13" x14ac:dyDescent="0.2">
      <c r="A46" s="232" t="s">
        <v>330</v>
      </c>
      <c r="B46" s="233" t="s">
        <v>331</v>
      </c>
      <c r="C46" s="233">
        <v>2010</v>
      </c>
      <c r="D46" s="109" t="s">
        <v>284</v>
      </c>
      <c r="E46" s="110">
        <v>10990</v>
      </c>
      <c r="F46" s="234" t="s">
        <v>84</v>
      </c>
      <c r="G46" s="235">
        <v>1003469.4126337899</v>
      </c>
      <c r="H46" s="236" t="s">
        <v>231</v>
      </c>
    </row>
    <row r="47" spans="1:13" x14ac:dyDescent="0.2">
      <c r="A47" s="232" t="s">
        <v>330</v>
      </c>
      <c r="B47" s="233" t="s">
        <v>331</v>
      </c>
      <c r="C47" s="233">
        <v>2010</v>
      </c>
      <c r="D47" s="109" t="s">
        <v>284</v>
      </c>
      <c r="E47" s="110">
        <v>11000</v>
      </c>
      <c r="F47" s="234" t="s">
        <v>336</v>
      </c>
      <c r="G47" s="235">
        <v>9332.9795074539998</v>
      </c>
      <c r="H47" s="236" t="s">
        <v>86</v>
      </c>
    </row>
    <row r="48" spans="1:13" x14ac:dyDescent="0.2">
      <c r="A48" s="232" t="s">
        <v>330</v>
      </c>
      <c r="B48" s="233" t="s">
        <v>331</v>
      </c>
      <c r="C48" s="233">
        <v>2010</v>
      </c>
      <c r="D48" s="109" t="s">
        <v>284</v>
      </c>
      <c r="E48" s="110">
        <v>11010</v>
      </c>
      <c r="F48" s="234" t="s">
        <v>310</v>
      </c>
      <c r="G48" s="235">
        <v>-482.61832989999999</v>
      </c>
      <c r="H48" s="236" t="s">
        <v>86</v>
      </c>
    </row>
    <row r="49" spans="1:8" x14ac:dyDescent="0.2">
      <c r="A49" s="232" t="s">
        <v>330</v>
      </c>
      <c r="B49" s="233" t="s">
        <v>331</v>
      </c>
      <c r="C49" s="233">
        <v>2010</v>
      </c>
      <c r="D49" s="109" t="s">
        <v>284</v>
      </c>
      <c r="E49" s="110">
        <v>11020</v>
      </c>
      <c r="F49" s="234" t="s">
        <v>294</v>
      </c>
      <c r="G49" s="235">
        <v>11760.900085498</v>
      </c>
      <c r="H49" s="236" t="s">
        <v>86</v>
      </c>
    </row>
    <row r="50" spans="1:8" x14ac:dyDescent="0.2">
      <c r="A50" s="232" t="s">
        <v>330</v>
      </c>
      <c r="B50" s="233" t="s">
        <v>331</v>
      </c>
      <c r="C50" s="233">
        <v>2010</v>
      </c>
      <c r="D50" s="109" t="s">
        <v>284</v>
      </c>
      <c r="E50" s="110">
        <v>11070</v>
      </c>
      <c r="F50" s="234" t="s">
        <v>337</v>
      </c>
      <c r="G50" s="235">
        <v>49005.087823119997</v>
      </c>
      <c r="H50" s="236" t="s">
        <v>86</v>
      </c>
    </row>
    <row r="51" spans="1:8" x14ac:dyDescent="0.2">
      <c r="A51" s="232" t="s">
        <v>330</v>
      </c>
      <c r="B51" s="233" t="s">
        <v>331</v>
      </c>
      <c r="C51" s="233">
        <v>2010</v>
      </c>
      <c r="D51" s="109" t="s">
        <v>284</v>
      </c>
      <c r="E51" s="110">
        <v>11100</v>
      </c>
      <c r="F51" s="234" t="s">
        <v>338</v>
      </c>
      <c r="G51" s="235">
        <v>136.263386072</v>
      </c>
      <c r="H51" s="236" t="s">
        <v>86</v>
      </c>
    </row>
    <row r="52" spans="1:8" x14ac:dyDescent="0.2">
      <c r="A52" s="232" t="s">
        <v>330</v>
      </c>
      <c r="B52" s="233" t="s">
        <v>331</v>
      </c>
      <c r="C52" s="233">
        <v>2010</v>
      </c>
      <c r="D52" s="109" t="s">
        <v>284</v>
      </c>
      <c r="E52" s="110">
        <v>11150</v>
      </c>
      <c r="F52" s="234" t="s">
        <v>327</v>
      </c>
      <c r="G52" s="235">
        <v>248182.22639716297</v>
      </c>
      <c r="H52" s="236" t="s">
        <v>86</v>
      </c>
    </row>
    <row r="53" spans="1:8" x14ac:dyDescent="0.2">
      <c r="A53" s="232" t="s">
        <v>330</v>
      </c>
      <c r="B53" s="233" t="s">
        <v>331</v>
      </c>
      <c r="C53" s="233">
        <v>2010</v>
      </c>
      <c r="D53" s="109" t="s">
        <v>284</v>
      </c>
      <c r="E53" s="110">
        <v>11200</v>
      </c>
      <c r="F53" s="234" t="s">
        <v>311</v>
      </c>
      <c r="G53" s="235">
        <v>7560.2669993</v>
      </c>
      <c r="H53" s="236" t="s">
        <v>86</v>
      </c>
    </row>
    <row r="54" spans="1:8" x14ac:dyDescent="0.2">
      <c r="A54" s="232" t="s">
        <v>330</v>
      </c>
      <c r="B54" s="233" t="s">
        <v>331</v>
      </c>
      <c r="C54" s="233">
        <v>2010</v>
      </c>
      <c r="D54" s="109" t="s">
        <v>284</v>
      </c>
      <c r="E54" s="110">
        <v>11210</v>
      </c>
      <c r="F54" s="234" t="s">
        <v>339</v>
      </c>
      <c r="G54" s="235">
        <v>593.38319250000006</v>
      </c>
      <c r="H54" s="236" t="s">
        <v>86</v>
      </c>
    </row>
    <row r="55" spans="1:8" x14ac:dyDescent="0.2">
      <c r="A55" s="232" t="s">
        <v>330</v>
      </c>
      <c r="B55" s="233" t="s">
        <v>331</v>
      </c>
      <c r="C55" s="233">
        <v>2010</v>
      </c>
      <c r="D55" s="109" t="s">
        <v>284</v>
      </c>
      <c r="E55" s="110">
        <v>11220</v>
      </c>
      <c r="F55" s="234" t="s">
        <v>340</v>
      </c>
      <c r="G55" s="235">
        <v>2583.432184627</v>
      </c>
      <c r="H55" s="236" t="s">
        <v>86</v>
      </c>
    </row>
    <row r="56" spans="1:8" x14ac:dyDescent="0.2">
      <c r="A56" s="232" t="s">
        <v>330</v>
      </c>
      <c r="B56" s="233" t="s">
        <v>331</v>
      </c>
      <c r="C56" s="233">
        <v>2010</v>
      </c>
      <c r="D56" s="109" t="s">
        <v>284</v>
      </c>
      <c r="E56" s="110">
        <v>11230</v>
      </c>
      <c r="F56" s="234" t="s">
        <v>341</v>
      </c>
      <c r="G56" s="235">
        <v>1890.2475904170001</v>
      </c>
      <c r="H56" s="236" t="s">
        <v>86</v>
      </c>
    </row>
    <row r="57" spans="1:8" x14ac:dyDescent="0.2">
      <c r="A57" s="232" t="s">
        <v>330</v>
      </c>
      <c r="B57" s="233" t="s">
        <v>331</v>
      </c>
      <c r="C57" s="233">
        <v>2010</v>
      </c>
      <c r="D57" s="109" t="s">
        <v>284</v>
      </c>
      <c r="E57" s="110">
        <v>11300</v>
      </c>
      <c r="F57" s="234" t="s">
        <v>312</v>
      </c>
      <c r="G57" s="235">
        <v>5045.4186091890006</v>
      </c>
      <c r="H57" s="236" t="s">
        <v>86</v>
      </c>
    </row>
    <row r="58" spans="1:8" x14ac:dyDescent="0.2">
      <c r="A58" s="232" t="s">
        <v>330</v>
      </c>
      <c r="B58" s="233" t="s">
        <v>331</v>
      </c>
      <c r="C58" s="233">
        <v>2010</v>
      </c>
      <c r="D58" s="109" t="s">
        <v>284</v>
      </c>
      <c r="E58" s="110">
        <v>11301</v>
      </c>
      <c r="F58" s="234" t="s">
        <v>342</v>
      </c>
      <c r="G58" s="235">
        <v>-2294.2680780189999</v>
      </c>
      <c r="H58" s="236" t="s">
        <v>86</v>
      </c>
    </row>
    <row r="59" spans="1:8" x14ac:dyDescent="0.2">
      <c r="A59" s="232" t="s">
        <v>330</v>
      </c>
      <c r="B59" s="233" t="s">
        <v>331</v>
      </c>
      <c r="C59" s="233">
        <v>2010</v>
      </c>
      <c r="D59" s="109" t="s">
        <v>284</v>
      </c>
      <c r="E59" s="110">
        <v>11500</v>
      </c>
      <c r="F59" s="234" t="s">
        <v>343</v>
      </c>
      <c r="G59" s="235">
        <v>4350.3464913000007</v>
      </c>
      <c r="H59" s="236" t="s">
        <v>86</v>
      </c>
    </row>
    <row r="60" spans="1:8" x14ac:dyDescent="0.2">
      <c r="A60" s="232" t="s">
        <v>330</v>
      </c>
      <c r="B60" s="233" t="s">
        <v>331</v>
      </c>
      <c r="C60" s="233">
        <v>2010</v>
      </c>
      <c r="D60" s="109" t="s">
        <v>284</v>
      </c>
      <c r="E60" s="110">
        <v>11600</v>
      </c>
      <c r="F60" s="234" t="s">
        <v>344</v>
      </c>
      <c r="G60" s="235">
        <v>533.31020834500009</v>
      </c>
      <c r="H60" s="236" t="s">
        <v>86</v>
      </c>
    </row>
    <row r="61" spans="1:8" x14ac:dyDescent="0.2">
      <c r="A61" s="232" t="s">
        <v>330</v>
      </c>
      <c r="B61" s="233" t="s">
        <v>331</v>
      </c>
      <c r="C61" s="233">
        <v>2010</v>
      </c>
      <c r="D61" s="109" t="s">
        <v>284</v>
      </c>
      <c r="E61" s="110">
        <v>11650</v>
      </c>
      <c r="F61" s="234" t="s">
        <v>345</v>
      </c>
      <c r="G61" s="235">
        <v>30357.619758744</v>
      </c>
      <c r="H61" s="236" t="s">
        <v>86</v>
      </c>
    </row>
    <row r="62" spans="1:8" x14ac:dyDescent="0.2">
      <c r="A62" s="232" t="s">
        <v>330</v>
      </c>
      <c r="B62" s="233" t="s">
        <v>331</v>
      </c>
      <c r="C62" s="233">
        <v>2010</v>
      </c>
      <c r="D62" s="109" t="s">
        <v>284</v>
      </c>
      <c r="E62" s="110">
        <v>11651</v>
      </c>
      <c r="F62" s="234" t="s">
        <v>346</v>
      </c>
      <c r="G62" s="235">
        <v>2617.7579894959995</v>
      </c>
      <c r="H62" s="236" t="s">
        <v>86</v>
      </c>
    </row>
    <row r="63" spans="1:8" x14ac:dyDescent="0.2">
      <c r="A63" s="232" t="s">
        <v>330</v>
      </c>
      <c r="B63" s="233" t="s">
        <v>331</v>
      </c>
      <c r="C63" s="233">
        <v>2010</v>
      </c>
      <c r="D63" s="109" t="s">
        <v>284</v>
      </c>
      <c r="E63" s="110">
        <v>11800</v>
      </c>
      <c r="F63" s="234" t="s">
        <v>347</v>
      </c>
      <c r="G63" s="235">
        <v>0</v>
      </c>
      <c r="H63" s="236" t="s">
        <v>86</v>
      </c>
    </row>
    <row r="64" spans="1:8" x14ac:dyDescent="0.2">
      <c r="A64" s="232" t="s">
        <v>330</v>
      </c>
      <c r="B64" s="233" t="s">
        <v>331</v>
      </c>
      <c r="C64" s="233">
        <v>2010</v>
      </c>
      <c r="D64" s="109" t="s">
        <v>284</v>
      </c>
      <c r="E64" s="110">
        <v>11960</v>
      </c>
      <c r="F64" s="234" t="s">
        <v>348</v>
      </c>
      <c r="G64" s="235">
        <v>5416.2322430849999</v>
      </c>
      <c r="H64" s="236" t="s">
        <v>86</v>
      </c>
    </row>
    <row r="65" spans="1:8" x14ac:dyDescent="0.2">
      <c r="A65" s="232" t="s">
        <v>330</v>
      </c>
      <c r="B65" s="233" t="s">
        <v>331</v>
      </c>
      <c r="C65" s="233">
        <v>2010</v>
      </c>
      <c r="D65" s="109" t="s">
        <v>284</v>
      </c>
      <c r="E65" s="110">
        <v>11980</v>
      </c>
      <c r="F65" s="234" t="s">
        <v>317</v>
      </c>
      <c r="G65" s="235">
        <v>4747.0655400000005</v>
      </c>
      <c r="H65" s="236" t="s">
        <v>86</v>
      </c>
    </row>
    <row r="66" spans="1:8" x14ac:dyDescent="0.2">
      <c r="A66" s="232" t="s">
        <v>330</v>
      </c>
      <c r="B66" s="233" t="s">
        <v>331</v>
      </c>
      <c r="C66" s="233">
        <v>2010</v>
      </c>
      <c r="D66" s="109" t="s">
        <v>284</v>
      </c>
      <c r="E66" s="110">
        <v>11990</v>
      </c>
      <c r="F66" s="234" t="s">
        <v>349</v>
      </c>
      <c r="G66" s="235">
        <v>289.34494720000004</v>
      </c>
      <c r="H66" s="236" t="s">
        <v>86</v>
      </c>
    </row>
    <row r="67" spans="1:8" x14ac:dyDescent="0.2">
      <c r="A67" s="232" t="s">
        <v>330</v>
      </c>
      <c r="B67" s="233" t="s">
        <v>331</v>
      </c>
      <c r="C67" s="233">
        <v>2010</v>
      </c>
      <c r="D67" s="109" t="s">
        <v>284</v>
      </c>
      <c r="E67" s="110">
        <v>12000</v>
      </c>
      <c r="F67" s="234" t="s">
        <v>314</v>
      </c>
      <c r="G67" s="235">
        <v>70419.303919726008</v>
      </c>
      <c r="H67" s="236" t="s">
        <v>86</v>
      </c>
    </row>
    <row r="68" spans="1:8" x14ac:dyDescent="0.2">
      <c r="A68" s="232" t="s">
        <v>330</v>
      </c>
      <c r="B68" s="233" t="s">
        <v>331</v>
      </c>
      <c r="C68" s="233">
        <v>2010</v>
      </c>
      <c r="D68" s="109" t="s">
        <v>284</v>
      </c>
      <c r="E68" s="110">
        <v>12400</v>
      </c>
      <c r="F68" s="234" t="s">
        <v>350</v>
      </c>
      <c r="G68" s="235">
        <v>1510.0189432</v>
      </c>
      <c r="H68" s="236" t="s">
        <v>86</v>
      </c>
    </row>
    <row r="69" spans="1:8" x14ac:dyDescent="0.2">
      <c r="A69" s="232" t="s">
        <v>330</v>
      </c>
      <c r="B69" s="233" t="s">
        <v>331</v>
      </c>
      <c r="C69" s="233">
        <v>2010</v>
      </c>
      <c r="D69" s="109" t="s">
        <v>284</v>
      </c>
      <c r="E69" s="110">
        <v>12470</v>
      </c>
      <c r="F69" s="234" t="s">
        <v>319</v>
      </c>
      <c r="G69" s="235">
        <v>2642.5331505999998</v>
      </c>
      <c r="H69" s="236" t="s">
        <v>86</v>
      </c>
    </row>
    <row r="70" spans="1:8" x14ac:dyDescent="0.2">
      <c r="A70" s="232" t="s">
        <v>330</v>
      </c>
      <c r="B70" s="233" t="s">
        <v>331</v>
      </c>
      <c r="C70" s="233">
        <v>2010</v>
      </c>
      <c r="D70" s="109" t="s">
        <v>284</v>
      </c>
      <c r="E70" s="110">
        <v>12700</v>
      </c>
      <c r="F70" s="234" t="s">
        <v>320</v>
      </c>
      <c r="G70" s="235">
        <v>129691.808496775</v>
      </c>
      <c r="H70" s="236" t="s">
        <v>86</v>
      </c>
    </row>
    <row r="71" spans="1:8" x14ac:dyDescent="0.2">
      <c r="A71" s="232" t="s">
        <v>330</v>
      </c>
      <c r="B71" s="233" t="s">
        <v>331</v>
      </c>
      <c r="C71" s="233">
        <v>2010</v>
      </c>
      <c r="D71" s="109" t="s">
        <v>284</v>
      </c>
      <c r="E71" s="110">
        <v>14290</v>
      </c>
      <c r="F71" s="234" t="s">
        <v>296</v>
      </c>
      <c r="G71" s="235">
        <v>74583.395903803001</v>
      </c>
      <c r="H71" s="236" t="s">
        <v>87</v>
      </c>
    </row>
    <row r="72" spans="1:8" x14ac:dyDescent="0.2">
      <c r="A72" s="232" t="s">
        <v>330</v>
      </c>
      <c r="B72" s="233" t="s">
        <v>331</v>
      </c>
      <c r="C72" s="233">
        <v>2010</v>
      </c>
      <c r="D72" s="109" t="s">
        <v>284</v>
      </c>
      <c r="E72" s="110">
        <v>16000</v>
      </c>
      <c r="F72" s="234" t="s">
        <v>351</v>
      </c>
      <c r="G72" s="235">
        <v>-1727073.9940016998</v>
      </c>
      <c r="H72" s="236" t="s">
        <v>352</v>
      </c>
    </row>
    <row r="73" spans="1:8" x14ac:dyDescent="0.2">
      <c r="A73" s="232" t="s">
        <v>330</v>
      </c>
      <c r="B73" s="233" t="s">
        <v>331</v>
      </c>
      <c r="C73" s="233">
        <v>2010</v>
      </c>
      <c r="D73" s="109" t="s">
        <v>284</v>
      </c>
      <c r="E73" s="110">
        <v>16100</v>
      </c>
      <c r="F73" s="234" t="s">
        <v>353</v>
      </c>
      <c r="G73" s="235">
        <v>226.05073999999999</v>
      </c>
      <c r="H73" s="236" t="s">
        <v>352</v>
      </c>
    </row>
    <row r="74" spans="1:8" x14ac:dyDescent="0.2">
      <c r="A74" s="232" t="s">
        <v>330</v>
      </c>
      <c r="B74" s="233" t="s">
        <v>331</v>
      </c>
      <c r="C74" s="233">
        <v>2010</v>
      </c>
      <c r="D74" s="109" t="s">
        <v>284</v>
      </c>
      <c r="E74" s="110">
        <v>16110</v>
      </c>
      <c r="F74" s="234" t="s">
        <v>354</v>
      </c>
      <c r="G74" s="235">
        <v>-161082.62707029999</v>
      </c>
      <c r="H74" s="236" t="s">
        <v>139</v>
      </c>
    </row>
    <row r="75" spans="1:8" x14ac:dyDescent="0.2">
      <c r="A75" s="232" t="s">
        <v>330</v>
      </c>
      <c r="B75" s="233" t="s">
        <v>331</v>
      </c>
      <c r="C75" s="233">
        <v>2010</v>
      </c>
      <c r="D75" s="109" t="s">
        <v>284</v>
      </c>
      <c r="E75" s="110">
        <v>16203</v>
      </c>
      <c r="F75" s="234" t="s">
        <v>355</v>
      </c>
      <c r="G75" s="235">
        <v>-28515.769631760999</v>
      </c>
      <c r="H75" s="236" t="s">
        <v>139</v>
      </c>
    </row>
    <row r="76" spans="1:8" x14ac:dyDescent="0.2">
      <c r="A76" s="107" t="s">
        <v>330</v>
      </c>
      <c r="B76" s="233" t="s">
        <v>331</v>
      </c>
      <c r="C76" s="233">
        <v>2010</v>
      </c>
      <c r="D76" s="110" t="s">
        <v>284</v>
      </c>
      <c r="E76" s="110">
        <v>17000</v>
      </c>
      <c r="F76" s="113" t="s">
        <v>356</v>
      </c>
      <c r="G76" s="235">
        <v>0</v>
      </c>
      <c r="H76" s="236" t="s">
        <v>357</v>
      </c>
    </row>
    <row r="77" spans="1:8" x14ac:dyDescent="0.2">
      <c r="A77" s="107" t="s">
        <v>330</v>
      </c>
      <c r="B77" s="233" t="s">
        <v>331</v>
      </c>
      <c r="C77" s="233">
        <v>2010</v>
      </c>
      <c r="D77" s="110" t="s">
        <v>284</v>
      </c>
      <c r="E77" s="110">
        <v>17100</v>
      </c>
      <c r="F77" s="113" t="s">
        <v>328</v>
      </c>
      <c r="G77" s="235">
        <v>-635009.3060173</v>
      </c>
      <c r="H77" s="236" t="s">
        <v>89</v>
      </c>
    </row>
    <row r="78" spans="1:8" x14ac:dyDescent="0.2">
      <c r="A78" s="107" t="s">
        <v>330</v>
      </c>
      <c r="B78" s="233" t="s">
        <v>331</v>
      </c>
      <c r="C78" s="233">
        <v>2010</v>
      </c>
      <c r="D78" s="110" t="s">
        <v>284</v>
      </c>
      <c r="E78" s="110">
        <v>17110</v>
      </c>
      <c r="F78" s="113" t="s">
        <v>329</v>
      </c>
      <c r="G78" s="235">
        <v>-30983.938544061995</v>
      </c>
      <c r="H78" s="236" t="s">
        <v>89</v>
      </c>
    </row>
    <row r="79" spans="1:8" x14ac:dyDescent="0.2">
      <c r="A79" s="107" t="s">
        <v>330</v>
      </c>
      <c r="B79" s="233" t="s">
        <v>331</v>
      </c>
      <c r="C79" s="233">
        <v>2010</v>
      </c>
      <c r="D79" s="110" t="s">
        <v>284</v>
      </c>
      <c r="E79" s="110">
        <v>17290</v>
      </c>
      <c r="F79" s="113" t="s">
        <v>297</v>
      </c>
      <c r="G79" s="235">
        <v>-74583.395903803001</v>
      </c>
      <c r="H79" s="236" t="s">
        <v>88</v>
      </c>
    </row>
    <row r="80" spans="1:8" x14ac:dyDescent="0.2">
      <c r="A80" s="107" t="s">
        <v>330</v>
      </c>
      <c r="B80" s="233" t="s">
        <v>331</v>
      </c>
      <c r="C80" s="233">
        <v>2010</v>
      </c>
      <c r="D80" s="110" t="s">
        <v>284</v>
      </c>
      <c r="E80" s="110">
        <v>17700</v>
      </c>
      <c r="F80" s="113" t="s">
        <v>291</v>
      </c>
      <c r="G80" s="235">
        <v>-199860.50126359999</v>
      </c>
      <c r="H80" s="236" t="s">
        <v>357</v>
      </c>
    </row>
    <row r="81" spans="1:10" x14ac:dyDescent="0.2">
      <c r="A81" s="107" t="s">
        <v>358</v>
      </c>
      <c r="B81" s="107" t="s">
        <v>359</v>
      </c>
      <c r="C81" s="233">
        <v>2010</v>
      </c>
      <c r="D81" s="110" t="s">
        <v>284</v>
      </c>
      <c r="E81" s="110">
        <v>13700</v>
      </c>
      <c r="F81" s="113" t="s">
        <v>360</v>
      </c>
      <c r="G81" s="235">
        <v>23017089.902275804</v>
      </c>
      <c r="H81" s="236" t="s">
        <v>361</v>
      </c>
    </row>
    <row r="82" spans="1:10" x14ac:dyDescent="0.2">
      <c r="A82" s="107" t="s">
        <v>358</v>
      </c>
      <c r="B82" s="107" t="s">
        <v>359</v>
      </c>
      <c r="C82" s="233">
        <v>2010</v>
      </c>
      <c r="D82" s="110" t="s">
        <v>284</v>
      </c>
      <c r="E82" s="110">
        <v>14700</v>
      </c>
      <c r="F82" s="113" t="s">
        <v>362</v>
      </c>
      <c r="G82" s="235">
        <v>0</v>
      </c>
      <c r="H82" s="236" t="s">
        <v>361</v>
      </c>
    </row>
    <row r="83" spans="1:10" x14ac:dyDescent="0.2">
      <c r="A83" s="107" t="s">
        <v>363</v>
      </c>
      <c r="B83" s="107" t="s">
        <v>364</v>
      </c>
      <c r="C83" s="233">
        <v>2010</v>
      </c>
      <c r="D83" s="110" t="s">
        <v>284</v>
      </c>
      <c r="E83" s="110">
        <v>10100</v>
      </c>
      <c r="F83" s="113" t="s">
        <v>306</v>
      </c>
      <c r="G83" s="235">
        <v>2986758.8999028667</v>
      </c>
      <c r="H83" s="236" t="s">
        <v>138</v>
      </c>
    </row>
    <row r="84" spans="1:10" x14ac:dyDescent="0.2">
      <c r="A84" s="107" t="s">
        <v>363</v>
      </c>
      <c r="B84" s="107" t="s">
        <v>364</v>
      </c>
      <c r="C84" s="233">
        <v>2010</v>
      </c>
      <c r="D84" s="110" t="s">
        <v>284</v>
      </c>
      <c r="E84" s="110">
        <v>10200</v>
      </c>
      <c r="F84" s="113" t="s">
        <v>325</v>
      </c>
      <c r="G84" s="235">
        <v>86451.251896931994</v>
      </c>
      <c r="H84" s="236" t="s">
        <v>138</v>
      </c>
    </row>
    <row r="85" spans="1:10" x14ac:dyDescent="0.2">
      <c r="A85" s="107" t="s">
        <v>363</v>
      </c>
      <c r="B85" s="107" t="s">
        <v>364</v>
      </c>
      <c r="C85" s="233">
        <v>2010</v>
      </c>
      <c r="D85" s="110" t="s">
        <v>284</v>
      </c>
      <c r="E85" s="110">
        <v>10210</v>
      </c>
      <c r="F85" s="113" t="s">
        <v>332</v>
      </c>
      <c r="G85" s="235">
        <v>315589.64155966596</v>
      </c>
      <c r="H85" s="236" t="s">
        <v>138</v>
      </c>
    </row>
    <row r="86" spans="1:10" x14ac:dyDescent="0.2">
      <c r="A86" s="107" t="s">
        <v>363</v>
      </c>
      <c r="B86" s="107" t="s">
        <v>364</v>
      </c>
      <c r="C86" s="233">
        <v>2010</v>
      </c>
      <c r="D86" s="110" t="s">
        <v>284</v>
      </c>
      <c r="E86" s="110">
        <v>10400</v>
      </c>
      <c r="F86" s="113" t="s">
        <v>333</v>
      </c>
      <c r="G86" s="235">
        <v>13183.855586187001</v>
      </c>
      <c r="H86" s="236" t="s">
        <v>138</v>
      </c>
      <c r="J86" s="231">
        <f>SUM(F49:F53,F64:F68,F35:F38,F79:F83)</f>
        <v>0</v>
      </c>
    </row>
    <row r="87" spans="1:10" x14ac:dyDescent="0.2">
      <c r="A87" s="107" t="s">
        <v>363</v>
      </c>
      <c r="B87" s="107" t="s">
        <v>364</v>
      </c>
      <c r="C87" s="233">
        <v>2010</v>
      </c>
      <c r="D87" s="110" t="s">
        <v>284</v>
      </c>
      <c r="E87" s="110">
        <v>10910</v>
      </c>
      <c r="F87" s="113" t="s">
        <v>301</v>
      </c>
      <c r="G87" s="235">
        <v>429671.07540679799</v>
      </c>
      <c r="H87" s="236" t="s">
        <v>155</v>
      </c>
    </row>
    <row r="88" spans="1:10" x14ac:dyDescent="0.2">
      <c r="A88" s="107" t="s">
        <v>363</v>
      </c>
      <c r="B88" s="107" t="s">
        <v>364</v>
      </c>
      <c r="C88" s="233">
        <v>2010</v>
      </c>
      <c r="D88" s="110" t="s">
        <v>284</v>
      </c>
      <c r="E88" s="110">
        <v>10990</v>
      </c>
      <c r="F88" s="113" t="s">
        <v>84</v>
      </c>
      <c r="G88" s="235">
        <v>488819.96413667797</v>
      </c>
      <c r="H88" s="236" t="s">
        <v>231</v>
      </c>
    </row>
    <row r="89" spans="1:10" x14ac:dyDescent="0.2">
      <c r="A89" s="107" t="s">
        <v>363</v>
      </c>
      <c r="B89" s="107" t="s">
        <v>364</v>
      </c>
      <c r="C89" s="233">
        <v>2010</v>
      </c>
      <c r="D89" s="110" t="s">
        <v>284</v>
      </c>
      <c r="E89" s="110">
        <v>11000</v>
      </c>
      <c r="F89" s="113" t="s">
        <v>336</v>
      </c>
      <c r="G89" s="235">
        <v>5206.3215259210001</v>
      </c>
      <c r="H89" s="236" t="s">
        <v>86</v>
      </c>
    </row>
    <row r="90" spans="1:10" x14ac:dyDescent="0.2">
      <c r="A90" s="107" t="s">
        <v>363</v>
      </c>
      <c r="B90" s="107" t="s">
        <v>364</v>
      </c>
      <c r="C90" s="233">
        <v>2010</v>
      </c>
      <c r="D90" s="110" t="s">
        <v>284</v>
      </c>
      <c r="E90" s="110">
        <v>11020</v>
      </c>
      <c r="F90" s="113" t="s">
        <v>294</v>
      </c>
      <c r="G90" s="235">
        <v>12686.351815057998</v>
      </c>
      <c r="H90" s="236" t="s">
        <v>86</v>
      </c>
    </row>
    <row r="91" spans="1:10" x14ac:dyDescent="0.2">
      <c r="A91" s="107" t="s">
        <v>363</v>
      </c>
      <c r="B91" s="107" t="s">
        <v>364</v>
      </c>
      <c r="C91" s="233">
        <v>2010</v>
      </c>
      <c r="D91" s="110" t="s">
        <v>284</v>
      </c>
      <c r="E91" s="110">
        <v>11070</v>
      </c>
      <c r="F91" s="113" t="s">
        <v>337</v>
      </c>
      <c r="G91" s="235">
        <v>18983.029085368998</v>
      </c>
      <c r="H91" s="236" t="s">
        <v>86</v>
      </c>
    </row>
    <row r="92" spans="1:10" x14ac:dyDescent="0.2">
      <c r="A92" s="107" t="s">
        <v>363</v>
      </c>
      <c r="B92" s="107" t="s">
        <v>364</v>
      </c>
      <c r="C92" s="233">
        <v>2010</v>
      </c>
      <c r="D92" s="110" t="s">
        <v>284</v>
      </c>
      <c r="E92" s="110">
        <v>11100</v>
      </c>
      <c r="F92" s="113" t="s">
        <v>338</v>
      </c>
      <c r="G92" s="235">
        <v>1013.1594166799999</v>
      </c>
      <c r="H92" s="236" t="s">
        <v>86</v>
      </c>
    </row>
    <row r="93" spans="1:10" x14ac:dyDescent="0.2">
      <c r="A93" s="107" t="s">
        <v>363</v>
      </c>
      <c r="B93" s="107" t="s">
        <v>364</v>
      </c>
      <c r="C93" s="233">
        <v>2010</v>
      </c>
      <c r="D93" s="110" t="s">
        <v>284</v>
      </c>
      <c r="E93" s="110">
        <v>11150</v>
      </c>
      <c r="F93" s="113" t="s">
        <v>327</v>
      </c>
      <c r="G93" s="235">
        <v>91628.672835744001</v>
      </c>
      <c r="H93" s="236" t="s">
        <v>86</v>
      </c>
    </row>
    <row r="94" spans="1:10" x14ac:dyDescent="0.2">
      <c r="A94" s="107" t="s">
        <v>363</v>
      </c>
      <c r="B94" s="107" t="s">
        <v>364</v>
      </c>
      <c r="C94" s="233">
        <v>2010</v>
      </c>
      <c r="D94" s="110" t="s">
        <v>284</v>
      </c>
      <c r="E94" s="110">
        <v>11200</v>
      </c>
      <c r="F94" s="113" t="s">
        <v>311</v>
      </c>
      <c r="G94" s="235">
        <v>23124.617718278998</v>
      </c>
      <c r="H94" s="236" t="s">
        <v>86</v>
      </c>
    </row>
    <row r="95" spans="1:10" x14ac:dyDescent="0.2">
      <c r="A95" s="107" t="s">
        <v>363</v>
      </c>
      <c r="B95" s="107" t="s">
        <v>364</v>
      </c>
      <c r="C95" s="233">
        <v>2010</v>
      </c>
      <c r="D95" s="110" t="s">
        <v>284</v>
      </c>
      <c r="E95" s="110">
        <v>11210</v>
      </c>
      <c r="F95" s="113" t="s">
        <v>339</v>
      </c>
      <c r="G95" s="235">
        <v>5370.9994900109996</v>
      </c>
      <c r="H95" s="236" t="s">
        <v>86</v>
      </c>
    </row>
    <row r="96" spans="1:10" x14ac:dyDescent="0.2">
      <c r="A96" s="107" t="s">
        <v>363</v>
      </c>
      <c r="B96" s="107" t="s">
        <v>364</v>
      </c>
      <c r="C96" s="233">
        <v>2010</v>
      </c>
      <c r="D96" s="110" t="s">
        <v>284</v>
      </c>
      <c r="E96" s="110">
        <v>11230</v>
      </c>
      <c r="F96" s="113" t="s">
        <v>341</v>
      </c>
      <c r="G96" s="235">
        <v>2998.9360498209999</v>
      </c>
      <c r="H96" s="236" t="s">
        <v>86</v>
      </c>
    </row>
    <row r="97" spans="1:8" x14ac:dyDescent="0.2">
      <c r="A97" s="107" t="s">
        <v>363</v>
      </c>
      <c r="B97" s="107" t="s">
        <v>364</v>
      </c>
      <c r="C97" s="233">
        <v>2010</v>
      </c>
      <c r="D97" s="110" t="s">
        <v>284</v>
      </c>
      <c r="E97" s="110">
        <v>11300</v>
      </c>
      <c r="F97" s="113" t="s">
        <v>312</v>
      </c>
      <c r="G97" s="235">
        <v>12247.779471847</v>
      </c>
      <c r="H97" s="236" t="s">
        <v>86</v>
      </c>
    </row>
    <row r="98" spans="1:8" x14ac:dyDescent="0.2">
      <c r="A98" s="107" t="s">
        <v>363</v>
      </c>
      <c r="B98" s="107" t="s">
        <v>364</v>
      </c>
      <c r="C98" s="233">
        <v>2010</v>
      </c>
      <c r="D98" s="110" t="s">
        <v>284</v>
      </c>
      <c r="E98" s="110">
        <v>11301</v>
      </c>
      <c r="F98" s="113" t="s">
        <v>342</v>
      </c>
      <c r="G98" s="235">
        <v>-3345.9917509429997</v>
      </c>
      <c r="H98" s="236" t="s">
        <v>86</v>
      </c>
    </row>
    <row r="99" spans="1:8" x14ac:dyDescent="0.2">
      <c r="A99" s="107" t="s">
        <v>363</v>
      </c>
      <c r="B99" s="107" t="s">
        <v>364</v>
      </c>
      <c r="C99" s="233">
        <v>2010</v>
      </c>
      <c r="D99" s="110" t="s">
        <v>284</v>
      </c>
      <c r="E99" s="110">
        <v>11500</v>
      </c>
      <c r="F99" s="113" t="s">
        <v>343</v>
      </c>
      <c r="G99" s="235">
        <v>7829.2673798999995</v>
      </c>
      <c r="H99" s="236" t="s">
        <v>86</v>
      </c>
    </row>
    <row r="100" spans="1:8" x14ac:dyDescent="0.2">
      <c r="A100" s="107" t="s">
        <v>363</v>
      </c>
      <c r="B100" s="107" t="s">
        <v>364</v>
      </c>
      <c r="C100" s="233">
        <v>2010</v>
      </c>
      <c r="D100" s="110" t="s">
        <v>284</v>
      </c>
      <c r="E100" s="110">
        <v>11600</v>
      </c>
      <c r="F100" s="113" t="s">
        <v>344</v>
      </c>
      <c r="G100" s="235">
        <v>2400.31978269</v>
      </c>
      <c r="H100" s="236" t="s">
        <v>86</v>
      </c>
    </row>
    <row r="101" spans="1:8" x14ac:dyDescent="0.2">
      <c r="A101" s="107" t="s">
        <v>363</v>
      </c>
      <c r="B101" s="107" t="s">
        <v>364</v>
      </c>
      <c r="C101" s="233">
        <v>2010</v>
      </c>
      <c r="D101" s="110" t="s">
        <v>284</v>
      </c>
      <c r="E101" s="110">
        <v>11650</v>
      </c>
      <c r="F101" s="113" t="s">
        <v>345</v>
      </c>
      <c r="G101" s="235">
        <v>15062.597193937998</v>
      </c>
      <c r="H101" s="236" t="s">
        <v>86</v>
      </c>
    </row>
    <row r="102" spans="1:8" x14ac:dyDescent="0.2">
      <c r="A102" s="107" t="s">
        <v>363</v>
      </c>
      <c r="B102" s="107" t="s">
        <v>364</v>
      </c>
      <c r="C102" s="233">
        <v>2010</v>
      </c>
      <c r="D102" s="110" t="s">
        <v>284</v>
      </c>
      <c r="E102" s="110">
        <v>11651</v>
      </c>
      <c r="F102" s="113" t="s">
        <v>346</v>
      </c>
      <c r="G102" s="235">
        <v>5158.4213741149997</v>
      </c>
      <c r="H102" s="236" t="s">
        <v>86</v>
      </c>
    </row>
    <row r="103" spans="1:8" x14ac:dyDescent="0.2">
      <c r="A103" s="107" t="s">
        <v>363</v>
      </c>
      <c r="B103" s="107" t="s">
        <v>364</v>
      </c>
      <c r="C103" s="233">
        <v>2010</v>
      </c>
      <c r="D103" s="110" t="s">
        <v>284</v>
      </c>
      <c r="E103" s="110">
        <v>11700</v>
      </c>
      <c r="F103" s="113" t="s">
        <v>365</v>
      </c>
      <c r="G103" s="235">
        <v>0</v>
      </c>
      <c r="H103" s="236" t="s">
        <v>86</v>
      </c>
    </row>
    <row r="104" spans="1:8" x14ac:dyDescent="0.2">
      <c r="A104" s="107" t="s">
        <v>363</v>
      </c>
      <c r="B104" s="107" t="s">
        <v>364</v>
      </c>
      <c r="C104" s="233">
        <v>2010</v>
      </c>
      <c r="D104" s="110" t="s">
        <v>284</v>
      </c>
      <c r="E104" s="110">
        <v>11900</v>
      </c>
      <c r="F104" s="113" t="s">
        <v>366</v>
      </c>
      <c r="G104" s="235">
        <v>226.05073999999999</v>
      </c>
      <c r="H104" s="236" t="s">
        <v>86</v>
      </c>
    </row>
    <row r="105" spans="1:8" x14ac:dyDescent="0.2">
      <c r="A105" s="107" t="s">
        <v>363</v>
      </c>
      <c r="B105" s="107" t="s">
        <v>364</v>
      </c>
      <c r="C105" s="233">
        <v>2010</v>
      </c>
      <c r="D105" s="110" t="s">
        <v>284</v>
      </c>
      <c r="E105" s="110">
        <v>11960</v>
      </c>
      <c r="F105" s="113" t="s">
        <v>348</v>
      </c>
      <c r="G105" s="235">
        <v>6538.5176545000004</v>
      </c>
      <c r="H105" s="236" t="s">
        <v>86</v>
      </c>
    </row>
    <row r="106" spans="1:8" x14ac:dyDescent="0.2">
      <c r="A106" s="107" t="s">
        <v>363</v>
      </c>
      <c r="B106" s="107" t="s">
        <v>364</v>
      </c>
      <c r="C106" s="233">
        <v>2010</v>
      </c>
      <c r="D106" s="110" t="s">
        <v>284</v>
      </c>
      <c r="E106" s="110">
        <v>11980</v>
      </c>
      <c r="F106" s="113" t="s">
        <v>317</v>
      </c>
      <c r="G106" s="235">
        <v>0</v>
      </c>
      <c r="H106" s="236" t="s">
        <v>86</v>
      </c>
    </row>
    <row r="107" spans="1:8" x14ac:dyDescent="0.2">
      <c r="A107" s="107" t="s">
        <v>363</v>
      </c>
      <c r="B107" s="107" t="s">
        <v>364</v>
      </c>
      <c r="C107" s="233">
        <v>2010</v>
      </c>
      <c r="D107" s="110" t="s">
        <v>284</v>
      </c>
      <c r="E107" s="110">
        <v>12000</v>
      </c>
      <c r="F107" s="113" t="s">
        <v>314</v>
      </c>
      <c r="G107" s="235">
        <v>24064.005475959999</v>
      </c>
      <c r="H107" s="236" t="s">
        <v>86</v>
      </c>
    </row>
    <row r="108" spans="1:8" x14ac:dyDescent="0.2">
      <c r="A108" s="107" t="s">
        <v>363</v>
      </c>
      <c r="B108" s="107" t="s">
        <v>364</v>
      </c>
      <c r="C108" s="233">
        <v>2010</v>
      </c>
      <c r="D108" s="110" t="s">
        <v>284</v>
      </c>
      <c r="E108" s="110">
        <v>12200</v>
      </c>
      <c r="F108" s="113" t="s">
        <v>367</v>
      </c>
      <c r="G108" s="235">
        <v>0</v>
      </c>
      <c r="H108" s="236" t="s">
        <v>86</v>
      </c>
    </row>
    <row r="109" spans="1:8" x14ac:dyDescent="0.2">
      <c r="A109" s="107" t="s">
        <v>363</v>
      </c>
      <c r="B109" s="107" t="s">
        <v>364</v>
      </c>
      <c r="C109" s="233">
        <v>2010</v>
      </c>
      <c r="D109" s="110" t="s">
        <v>284</v>
      </c>
      <c r="E109" s="110">
        <v>12400</v>
      </c>
      <c r="F109" s="113" t="s">
        <v>350</v>
      </c>
      <c r="G109" s="235">
        <v>0</v>
      </c>
      <c r="H109" s="236" t="s">
        <v>86</v>
      </c>
    </row>
    <row r="110" spans="1:8" x14ac:dyDescent="0.2">
      <c r="A110" s="107" t="s">
        <v>363</v>
      </c>
      <c r="B110" s="107" t="s">
        <v>364</v>
      </c>
      <c r="C110" s="233">
        <v>2010</v>
      </c>
      <c r="D110" s="110" t="s">
        <v>284</v>
      </c>
      <c r="E110" s="110">
        <v>14290</v>
      </c>
      <c r="F110" s="113" t="s">
        <v>296</v>
      </c>
      <c r="G110" s="235">
        <v>36233.616601915004</v>
      </c>
      <c r="H110" s="236" t="s">
        <v>87</v>
      </c>
    </row>
    <row r="111" spans="1:8" x14ac:dyDescent="0.2">
      <c r="A111" s="107" t="s">
        <v>363</v>
      </c>
      <c r="B111" s="107" t="s">
        <v>364</v>
      </c>
      <c r="C111" s="233">
        <v>2010</v>
      </c>
      <c r="D111" s="110" t="s">
        <v>284</v>
      </c>
      <c r="E111" s="110">
        <v>16000</v>
      </c>
      <c r="F111" s="113" t="s">
        <v>351</v>
      </c>
      <c r="G111" s="235">
        <v>-942540.03525030008</v>
      </c>
      <c r="H111" s="236" t="s">
        <v>352</v>
      </c>
    </row>
    <row r="112" spans="1:8" x14ac:dyDescent="0.2">
      <c r="A112" s="107" t="s">
        <v>363</v>
      </c>
      <c r="B112" s="107" t="s">
        <v>364</v>
      </c>
      <c r="C112" s="233">
        <v>2010</v>
      </c>
      <c r="D112" s="110" t="s">
        <v>284</v>
      </c>
      <c r="E112" s="110">
        <v>16110</v>
      </c>
      <c r="F112" s="113" t="s">
        <v>354</v>
      </c>
      <c r="G112" s="235">
        <v>-70229.443903199994</v>
      </c>
      <c r="H112" s="236" t="s">
        <v>139</v>
      </c>
    </row>
    <row r="113" spans="1:8" x14ac:dyDescent="0.2">
      <c r="A113" s="107" t="s">
        <v>363</v>
      </c>
      <c r="B113" s="107" t="s">
        <v>364</v>
      </c>
      <c r="C113" s="233">
        <v>2010</v>
      </c>
      <c r="D113" s="110" t="s">
        <v>284</v>
      </c>
      <c r="E113" s="110">
        <v>16203</v>
      </c>
      <c r="F113" s="113" t="s">
        <v>355</v>
      </c>
      <c r="G113" s="235">
        <v>-11407.571476341001</v>
      </c>
      <c r="H113" s="236" t="s">
        <v>139</v>
      </c>
    </row>
    <row r="114" spans="1:8" x14ac:dyDescent="0.2">
      <c r="A114" s="107" t="s">
        <v>363</v>
      </c>
      <c r="B114" s="107" t="s">
        <v>364</v>
      </c>
      <c r="C114" s="233">
        <v>2010</v>
      </c>
      <c r="D114" s="110" t="s">
        <v>284</v>
      </c>
      <c r="E114" s="110">
        <v>17100</v>
      </c>
      <c r="F114" s="113" t="s">
        <v>328</v>
      </c>
      <c r="G114" s="235">
        <v>-302411.81022569997</v>
      </c>
      <c r="H114" s="236" t="s">
        <v>89</v>
      </c>
    </row>
    <row r="115" spans="1:8" x14ac:dyDescent="0.2">
      <c r="A115" s="107" t="s">
        <v>363</v>
      </c>
      <c r="B115" s="107" t="s">
        <v>364</v>
      </c>
      <c r="C115" s="233">
        <v>2010</v>
      </c>
      <c r="D115" s="110" t="s">
        <v>284</v>
      </c>
      <c r="E115" s="110">
        <v>17110</v>
      </c>
      <c r="F115" s="113" t="s">
        <v>329</v>
      </c>
      <c r="G115" s="235">
        <v>-10086.304901041</v>
      </c>
      <c r="H115" s="236" t="s">
        <v>89</v>
      </c>
    </row>
    <row r="116" spans="1:8" x14ac:dyDescent="0.2">
      <c r="A116" s="107" t="s">
        <v>363</v>
      </c>
      <c r="B116" s="107" t="s">
        <v>364</v>
      </c>
      <c r="C116" s="233">
        <v>2010</v>
      </c>
      <c r="D116" s="110" t="s">
        <v>284</v>
      </c>
      <c r="E116" s="110">
        <v>17290</v>
      </c>
      <c r="F116" s="113" t="s">
        <v>297</v>
      </c>
      <c r="G116" s="235">
        <v>-36199.539452860001</v>
      </c>
      <c r="H116" s="236" t="s">
        <v>88</v>
      </c>
    </row>
    <row r="117" spans="1:8" x14ac:dyDescent="0.2">
      <c r="A117" s="107" t="s">
        <v>368</v>
      </c>
      <c r="B117" s="107" t="s">
        <v>369</v>
      </c>
      <c r="C117" s="233">
        <v>2010</v>
      </c>
      <c r="D117" s="110" t="s">
        <v>284</v>
      </c>
      <c r="E117" s="110">
        <v>10100</v>
      </c>
      <c r="F117" s="113" t="s">
        <v>306</v>
      </c>
      <c r="G117" s="235">
        <v>8692190.0840149</v>
      </c>
      <c r="H117" s="236" t="s">
        <v>138</v>
      </c>
    </row>
    <row r="118" spans="1:8" x14ac:dyDescent="0.2">
      <c r="A118" s="107" t="s">
        <v>368</v>
      </c>
      <c r="B118" s="107" t="s">
        <v>369</v>
      </c>
      <c r="C118" s="233">
        <v>2010</v>
      </c>
      <c r="D118" s="110" t="s">
        <v>284</v>
      </c>
      <c r="E118" s="110">
        <v>10200</v>
      </c>
      <c r="F118" s="113" t="s">
        <v>325</v>
      </c>
      <c r="G118" s="235">
        <v>248798.542437236</v>
      </c>
      <c r="H118" s="236" t="s">
        <v>138</v>
      </c>
    </row>
    <row r="119" spans="1:8" x14ac:dyDescent="0.2">
      <c r="A119" s="107" t="s">
        <v>368</v>
      </c>
      <c r="B119" s="107" t="s">
        <v>369</v>
      </c>
      <c r="C119" s="233">
        <v>2010</v>
      </c>
      <c r="D119" s="110" t="s">
        <v>284</v>
      </c>
      <c r="E119" s="110">
        <v>10210</v>
      </c>
      <c r="F119" s="113" t="s">
        <v>332</v>
      </c>
      <c r="G119" s="235">
        <v>371151.17286096798</v>
      </c>
      <c r="H119" s="236" t="s">
        <v>138</v>
      </c>
    </row>
    <row r="120" spans="1:8" x14ac:dyDescent="0.2">
      <c r="A120" s="107" t="s">
        <v>368</v>
      </c>
      <c r="B120" s="107" t="s">
        <v>369</v>
      </c>
      <c r="C120" s="233">
        <v>2010</v>
      </c>
      <c r="D120" s="110" t="s">
        <v>284</v>
      </c>
      <c r="E120" s="110">
        <v>10400</v>
      </c>
      <c r="F120" s="113" t="s">
        <v>333</v>
      </c>
      <c r="G120" s="235">
        <v>62521.271904718</v>
      </c>
      <c r="H120" s="236" t="s">
        <v>138</v>
      </c>
    </row>
    <row r="121" spans="1:8" x14ac:dyDescent="0.2">
      <c r="A121" s="107" t="s">
        <v>368</v>
      </c>
      <c r="B121" s="107" t="s">
        <v>369</v>
      </c>
      <c r="C121" s="233">
        <v>2010</v>
      </c>
      <c r="D121" s="110" t="s">
        <v>284</v>
      </c>
      <c r="E121" s="110">
        <v>10500</v>
      </c>
      <c r="F121" s="113" t="s">
        <v>334</v>
      </c>
      <c r="G121" s="235">
        <v>0</v>
      </c>
      <c r="H121" s="236" t="s">
        <v>138</v>
      </c>
    </row>
    <row r="122" spans="1:8" x14ac:dyDescent="0.2">
      <c r="A122" s="107" t="s">
        <v>368</v>
      </c>
      <c r="B122" s="107" t="s">
        <v>369</v>
      </c>
      <c r="C122" s="233">
        <v>2010</v>
      </c>
      <c r="D122" s="110" t="s">
        <v>284</v>
      </c>
      <c r="E122" s="110">
        <v>10910</v>
      </c>
      <c r="F122" s="113" t="s">
        <v>301</v>
      </c>
      <c r="G122" s="235">
        <v>1213533.4148045841</v>
      </c>
      <c r="H122" s="236" t="s">
        <v>155</v>
      </c>
    </row>
    <row r="123" spans="1:8" x14ac:dyDescent="0.2">
      <c r="A123" s="107" t="s">
        <v>368</v>
      </c>
      <c r="B123" s="107" t="s">
        <v>369</v>
      </c>
      <c r="C123" s="233">
        <v>2010</v>
      </c>
      <c r="D123" s="110" t="s">
        <v>284</v>
      </c>
      <c r="E123" s="110">
        <v>10990</v>
      </c>
      <c r="F123" s="113" t="s">
        <v>84</v>
      </c>
      <c r="G123" s="235">
        <v>1387784.220842252</v>
      </c>
      <c r="H123" s="236" t="s">
        <v>231</v>
      </c>
    </row>
    <row r="124" spans="1:8" x14ac:dyDescent="0.2">
      <c r="A124" s="107" t="s">
        <v>368</v>
      </c>
      <c r="B124" s="107" t="s">
        <v>369</v>
      </c>
      <c r="C124" s="233">
        <v>2010</v>
      </c>
      <c r="D124" s="110" t="s">
        <v>284</v>
      </c>
      <c r="E124" s="110">
        <v>11000</v>
      </c>
      <c r="F124" s="113" t="s">
        <v>336</v>
      </c>
      <c r="G124" s="235">
        <v>15127.586781688</v>
      </c>
      <c r="H124" s="236" t="s">
        <v>86</v>
      </c>
    </row>
    <row r="125" spans="1:8" x14ac:dyDescent="0.2">
      <c r="A125" s="107" t="s">
        <v>368</v>
      </c>
      <c r="B125" s="107" t="s">
        <v>369</v>
      </c>
      <c r="C125" s="233">
        <v>2010</v>
      </c>
      <c r="D125" s="110" t="s">
        <v>284</v>
      </c>
      <c r="E125" s="110">
        <v>11020</v>
      </c>
      <c r="F125" s="113" t="s">
        <v>294</v>
      </c>
      <c r="G125" s="235">
        <v>13876.011649529999</v>
      </c>
      <c r="H125" s="236" t="s">
        <v>86</v>
      </c>
    </row>
    <row r="126" spans="1:8" x14ac:dyDescent="0.2">
      <c r="A126" s="107" t="s">
        <v>368</v>
      </c>
      <c r="B126" s="107" t="s">
        <v>369</v>
      </c>
      <c r="C126" s="233">
        <v>2010</v>
      </c>
      <c r="D126" s="110" t="s">
        <v>284</v>
      </c>
      <c r="E126" s="110">
        <v>11070</v>
      </c>
      <c r="F126" s="113" t="s">
        <v>337</v>
      </c>
      <c r="G126" s="235">
        <v>50926.293062379998</v>
      </c>
      <c r="H126" s="236" t="s">
        <v>86</v>
      </c>
    </row>
    <row r="127" spans="1:8" x14ac:dyDescent="0.2">
      <c r="A127" s="107" t="s">
        <v>368</v>
      </c>
      <c r="B127" s="107" t="s">
        <v>369</v>
      </c>
      <c r="C127" s="233">
        <v>2010</v>
      </c>
      <c r="D127" s="110" t="s">
        <v>284</v>
      </c>
      <c r="E127" s="110">
        <v>11100</v>
      </c>
      <c r="F127" s="113" t="s">
        <v>338</v>
      </c>
      <c r="G127" s="235">
        <v>708.44301915999995</v>
      </c>
      <c r="H127" s="236" t="s">
        <v>86</v>
      </c>
    </row>
    <row r="128" spans="1:8" x14ac:dyDescent="0.2">
      <c r="A128" s="107" t="s">
        <v>368</v>
      </c>
      <c r="B128" s="107" t="s">
        <v>369</v>
      </c>
      <c r="C128" s="233">
        <v>2010</v>
      </c>
      <c r="D128" s="110" t="s">
        <v>284</v>
      </c>
      <c r="E128" s="110">
        <v>11150</v>
      </c>
      <c r="F128" s="113" t="s">
        <v>327</v>
      </c>
      <c r="G128" s="235">
        <v>416185.62292330305</v>
      </c>
      <c r="H128" s="236" t="s">
        <v>86</v>
      </c>
    </row>
    <row r="129" spans="1:8" x14ac:dyDescent="0.2">
      <c r="A129" s="107" t="s">
        <v>368</v>
      </c>
      <c r="B129" s="107" t="s">
        <v>369</v>
      </c>
      <c r="C129" s="233">
        <v>2010</v>
      </c>
      <c r="D129" s="110" t="s">
        <v>284</v>
      </c>
      <c r="E129" s="110">
        <v>11200</v>
      </c>
      <c r="F129" s="113" t="s">
        <v>311</v>
      </c>
      <c r="G129" s="235">
        <v>25349.782085080005</v>
      </c>
      <c r="H129" s="236" t="s">
        <v>86</v>
      </c>
    </row>
    <row r="130" spans="1:8" x14ac:dyDescent="0.2">
      <c r="A130" s="107" t="s">
        <v>368</v>
      </c>
      <c r="B130" s="107" t="s">
        <v>369</v>
      </c>
      <c r="C130" s="233">
        <v>2010</v>
      </c>
      <c r="D130" s="110" t="s">
        <v>284</v>
      </c>
      <c r="E130" s="110">
        <v>11250</v>
      </c>
      <c r="F130" s="113" t="s">
        <v>370</v>
      </c>
      <c r="G130" s="235">
        <v>0</v>
      </c>
      <c r="H130" s="236" t="s">
        <v>86</v>
      </c>
    </row>
    <row r="131" spans="1:8" x14ac:dyDescent="0.2">
      <c r="A131" s="107" t="s">
        <v>368</v>
      </c>
      <c r="B131" s="107" t="s">
        <v>369</v>
      </c>
      <c r="C131" s="233">
        <v>2010</v>
      </c>
      <c r="D131" s="110" t="s">
        <v>284</v>
      </c>
      <c r="E131" s="110">
        <v>11260</v>
      </c>
      <c r="F131" s="113" t="s">
        <v>371</v>
      </c>
      <c r="G131" s="235">
        <v>22563.921462782997</v>
      </c>
      <c r="H131" s="236" t="s">
        <v>86</v>
      </c>
    </row>
    <row r="132" spans="1:8" x14ac:dyDescent="0.2">
      <c r="A132" s="107" t="s">
        <v>368</v>
      </c>
      <c r="B132" s="107" t="s">
        <v>369</v>
      </c>
      <c r="C132" s="233">
        <v>2010</v>
      </c>
      <c r="D132" s="110" t="s">
        <v>284</v>
      </c>
      <c r="E132" s="110">
        <v>11300</v>
      </c>
      <c r="F132" s="113" t="s">
        <v>312</v>
      </c>
      <c r="G132" s="235">
        <v>9613.7910392190006</v>
      </c>
      <c r="H132" s="236" t="s">
        <v>86</v>
      </c>
    </row>
    <row r="133" spans="1:8" x14ac:dyDescent="0.2">
      <c r="A133" s="107" t="s">
        <v>368</v>
      </c>
      <c r="B133" s="107" t="s">
        <v>369</v>
      </c>
      <c r="C133" s="233">
        <v>2010</v>
      </c>
      <c r="D133" s="110" t="s">
        <v>284</v>
      </c>
      <c r="E133" s="110">
        <v>11500</v>
      </c>
      <c r="F133" s="113" t="s">
        <v>343</v>
      </c>
      <c r="G133" s="235">
        <v>17223.936134300002</v>
      </c>
      <c r="H133" s="236" t="s">
        <v>86</v>
      </c>
    </row>
    <row r="134" spans="1:8" x14ac:dyDescent="0.2">
      <c r="A134" s="107" t="s">
        <v>368</v>
      </c>
      <c r="B134" s="107" t="s">
        <v>369</v>
      </c>
      <c r="C134" s="233">
        <v>2010</v>
      </c>
      <c r="D134" s="110" t="s">
        <v>284</v>
      </c>
      <c r="E134" s="110">
        <v>11600</v>
      </c>
      <c r="F134" s="113" t="s">
        <v>344</v>
      </c>
      <c r="G134" s="235">
        <v>259.90183831500002</v>
      </c>
      <c r="H134" s="236" t="s">
        <v>86</v>
      </c>
    </row>
    <row r="135" spans="1:8" x14ac:dyDescent="0.2">
      <c r="A135" s="107" t="s">
        <v>368</v>
      </c>
      <c r="B135" s="107" t="s">
        <v>369</v>
      </c>
      <c r="C135" s="233">
        <v>2010</v>
      </c>
      <c r="D135" s="110" t="s">
        <v>284</v>
      </c>
      <c r="E135" s="110">
        <v>11650</v>
      </c>
      <c r="F135" s="113" t="s">
        <v>345</v>
      </c>
      <c r="G135" s="235">
        <v>43611.584981942004</v>
      </c>
      <c r="H135" s="236" t="s">
        <v>86</v>
      </c>
    </row>
    <row r="136" spans="1:8" x14ac:dyDescent="0.2">
      <c r="A136" s="107" t="s">
        <v>368</v>
      </c>
      <c r="B136" s="107" t="s">
        <v>369</v>
      </c>
      <c r="C136" s="233">
        <v>2010</v>
      </c>
      <c r="D136" s="110" t="s">
        <v>284</v>
      </c>
      <c r="E136" s="110">
        <v>11700</v>
      </c>
      <c r="F136" s="113" t="s">
        <v>365</v>
      </c>
      <c r="G136" s="235">
        <v>5033.8109036899996</v>
      </c>
      <c r="H136" s="236" t="s">
        <v>86</v>
      </c>
    </row>
    <row r="137" spans="1:8" x14ac:dyDescent="0.2">
      <c r="A137" s="107" t="s">
        <v>368</v>
      </c>
      <c r="B137" s="107" t="s">
        <v>369</v>
      </c>
      <c r="C137" s="233">
        <v>2010</v>
      </c>
      <c r="D137" s="110" t="s">
        <v>284</v>
      </c>
      <c r="E137" s="110">
        <v>11970</v>
      </c>
      <c r="F137" s="113" t="s">
        <v>372</v>
      </c>
      <c r="G137" s="235">
        <v>0</v>
      </c>
      <c r="H137" s="236" t="s">
        <v>86</v>
      </c>
    </row>
    <row r="138" spans="1:8" x14ac:dyDescent="0.2">
      <c r="A138" s="107" t="s">
        <v>368</v>
      </c>
      <c r="B138" s="107" t="s">
        <v>369</v>
      </c>
      <c r="C138" s="233">
        <v>2010</v>
      </c>
      <c r="D138" s="110" t="s">
        <v>284</v>
      </c>
      <c r="E138" s="110">
        <v>11980</v>
      </c>
      <c r="F138" s="113" t="s">
        <v>317</v>
      </c>
      <c r="G138" s="235">
        <v>7339.8675278000001</v>
      </c>
      <c r="H138" s="236" t="s">
        <v>86</v>
      </c>
    </row>
    <row r="139" spans="1:8" x14ac:dyDescent="0.2">
      <c r="A139" s="107" t="s">
        <v>368</v>
      </c>
      <c r="B139" s="107" t="s">
        <v>369</v>
      </c>
      <c r="C139" s="233">
        <v>2010</v>
      </c>
      <c r="D139" s="110" t="s">
        <v>284</v>
      </c>
      <c r="E139" s="110">
        <v>12000</v>
      </c>
      <c r="F139" s="113" t="s">
        <v>314</v>
      </c>
      <c r="G139" s="235">
        <v>63172.015472492996</v>
      </c>
      <c r="H139" s="236" t="s">
        <v>86</v>
      </c>
    </row>
    <row r="140" spans="1:8" x14ac:dyDescent="0.2">
      <c r="A140" s="107" t="s">
        <v>368</v>
      </c>
      <c r="B140" s="107" t="s">
        <v>369</v>
      </c>
      <c r="C140" s="233">
        <v>2010</v>
      </c>
      <c r="D140" s="110" t="s">
        <v>284</v>
      </c>
      <c r="E140" s="110">
        <v>12200</v>
      </c>
      <c r="F140" s="113" t="s">
        <v>367</v>
      </c>
      <c r="G140" s="235">
        <v>9680.3968897599989</v>
      </c>
      <c r="H140" s="236" t="s">
        <v>86</v>
      </c>
    </row>
    <row r="141" spans="1:8" x14ac:dyDescent="0.2">
      <c r="A141" s="107" t="s">
        <v>368</v>
      </c>
      <c r="B141" s="107" t="s">
        <v>369</v>
      </c>
      <c r="C141" s="233">
        <v>2010</v>
      </c>
      <c r="D141" s="110" t="s">
        <v>284</v>
      </c>
      <c r="E141" s="110">
        <v>12700</v>
      </c>
      <c r="F141" s="113" t="s">
        <v>320</v>
      </c>
      <c r="G141" s="235">
        <v>635306.20105921605</v>
      </c>
      <c r="H141" s="236" t="s">
        <v>86</v>
      </c>
    </row>
    <row r="142" spans="1:8" x14ac:dyDescent="0.2">
      <c r="A142" s="107" t="s">
        <v>368</v>
      </c>
      <c r="B142" s="107" t="s">
        <v>369</v>
      </c>
      <c r="C142" s="233">
        <v>2010</v>
      </c>
      <c r="D142" s="110" t="s">
        <v>284</v>
      </c>
      <c r="E142" s="110">
        <v>14290</v>
      </c>
      <c r="F142" s="113" t="s">
        <v>296</v>
      </c>
      <c r="G142" s="235">
        <v>102583.75854582702</v>
      </c>
      <c r="H142" s="236" t="s">
        <v>87</v>
      </c>
    </row>
    <row r="143" spans="1:8" x14ac:dyDescent="0.2">
      <c r="A143" s="107" t="s">
        <v>368</v>
      </c>
      <c r="B143" s="107" t="s">
        <v>369</v>
      </c>
      <c r="C143" s="233">
        <v>2010</v>
      </c>
      <c r="D143" s="110" t="s">
        <v>284</v>
      </c>
      <c r="E143" s="110">
        <v>16000</v>
      </c>
      <c r="F143" s="113" t="s">
        <v>351</v>
      </c>
      <c r="G143" s="235">
        <v>-2601601.0128545002</v>
      </c>
      <c r="H143" s="236" t="s">
        <v>352</v>
      </c>
    </row>
    <row r="144" spans="1:8" x14ac:dyDescent="0.2">
      <c r="A144" s="107" t="s">
        <v>368</v>
      </c>
      <c r="B144" s="107" t="s">
        <v>369</v>
      </c>
      <c r="C144" s="233">
        <v>2010</v>
      </c>
      <c r="D144" s="110" t="s">
        <v>284</v>
      </c>
      <c r="E144" s="110">
        <v>16110</v>
      </c>
      <c r="F144" s="113" t="s">
        <v>354</v>
      </c>
      <c r="G144" s="235">
        <v>-253101.66692895</v>
      </c>
      <c r="H144" s="236" t="s">
        <v>139</v>
      </c>
    </row>
    <row r="145" spans="1:8" x14ac:dyDescent="0.2">
      <c r="A145" s="107" t="s">
        <v>368</v>
      </c>
      <c r="B145" s="107" t="s">
        <v>369</v>
      </c>
      <c r="C145" s="233">
        <v>2010</v>
      </c>
      <c r="D145" s="110" t="s">
        <v>284</v>
      </c>
      <c r="E145" s="110">
        <v>16202</v>
      </c>
      <c r="F145" s="113" t="s">
        <v>373</v>
      </c>
      <c r="G145" s="235">
        <v>-10458.237486100001</v>
      </c>
      <c r="H145" s="236" t="s">
        <v>357</v>
      </c>
    </row>
    <row r="146" spans="1:8" x14ac:dyDescent="0.2">
      <c r="A146" s="107" t="s">
        <v>368</v>
      </c>
      <c r="B146" s="107" t="s">
        <v>369</v>
      </c>
      <c r="C146" s="233">
        <v>2010</v>
      </c>
      <c r="D146" s="110" t="s">
        <v>284</v>
      </c>
      <c r="E146" s="110">
        <v>16203</v>
      </c>
      <c r="F146" s="113" t="s">
        <v>355</v>
      </c>
      <c r="G146" s="235">
        <v>-41355.790739871009</v>
      </c>
      <c r="H146" s="236" t="s">
        <v>139</v>
      </c>
    </row>
    <row r="147" spans="1:8" x14ac:dyDescent="0.2">
      <c r="A147" s="107" t="s">
        <v>368</v>
      </c>
      <c r="B147" s="107" t="s">
        <v>369</v>
      </c>
      <c r="C147" s="233">
        <v>2010</v>
      </c>
      <c r="D147" s="110" t="s">
        <v>284</v>
      </c>
      <c r="E147" s="110">
        <v>17000</v>
      </c>
      <c r="F147" s="113" t="s">
        <v>356</v>
      </c>
      <c r="G147" s="235">
        <v>-19666.414379999998</v>
      </c>
      <c r="H147" s="236" t="s">
        <v>357</v>
      </c>
    </row>
    <row r="148" spans="1:8" x14ac:dyDescent="0.2">
      <c r="A148" s="107" t="s">
        <v>368</v>
      </c>
      <c r="B148" s="107" t="s">
        <v>369</v>
      </c>
      <c r="C148" s="233">
        <v>2010</v>
      </c>
      <c r="D148" s="110" t="s">
        <v>284</v>
      </c>
      <c r="E148" s="110">
        <v>17100</v>
      </c>
      <c r="F148" s="113" t="s">
        <v>328</v>
      </c>
      <c r="G148" s="235">
        <v>-507091.71326609998</v>
      </c>
      <c r="H148" s="236" t="s">
        <v>89</v>
      </c>
    </row>
    <row r="149" spans="1:8" x14ac:dyDescent="0.2">
      <c r="A149" s="107" t="s">
        <v>368</v>
      </c>
      <c r="B149" s="107" t="s">
        <v>369</v>
      </c>
      <c r="C149" s="233">
        <v>2010</v>
      </c>
      <c r="D149" s="110" t="s">
        <v>284</v>
      </c>
      <c r="E149" s="110">
        <v>17110</v>
      </c>
      <c r="F149" s="113" t="s">
        <v>329</v>
      </c>
      <c r="G149" s="235">
        <v>-22163.969888501</v>
      </c>
      <c r="H149" s="236" t="s">
        <v>89</v>
      </c>
    </row>
    <row r="150" spans="1:8" x14ac:dyDescent="0.2">
      <c r="A150" s="107" t="s">
        <v>368</v>
      </c>
      <c r="B150" s="107" t="s">
        <v>369</v>
      </c>
      <c r="C150" s="233">
        <v>2010</v>
      </c>
      <c r="D150" s="110" t="s">
        <v>284</v>
      </c>
      <c r="E150" s="110">
        <v>17290</v>
      </c>
      <c r="F150" s="113" t="s">
        <v>297</v>
      </c>
      <c r="G150" s="235">
        <v>-102583.75854582702</v>
      </c>
      <c r="H150" s="236" t="s">
        <v>88</v>
      </c>
    </row>
    <row r="151" spans="1:8" x14ac:dyDescent="0.2">
      <c r="A151" s="107" t="s">
        <v>374</v>
      </c>
      <c r="B151" s="107" t="s">
        <v>375</v>
      </c>
      <c r="C151" s="233">
        <v>2010</v>
      </c>
      <c r="D151" s="110" t="s">
        <v>284</v>
      </c>
      <c r="E151" s="110">
        <v>10100</v>
      </c>
      <c r="F151" s="113" t="s">
        <v>306</v>
      </c>
      <c r="G151" s="235">
        <v>8415185.4388546273</v>
      </c>
      <c r="H151" s="236" t="s">
        <v>138</v>
      </c>
    </row>
    <row r="152" spans="1:8" x14ac:dyDescent="0.2">
      <c r="A152" s="107" t="s">
        <v>374</v>
      </c>
      <c r="B152" s="107" t="s">
        <v>375</v>
      </c>
      <c r="C152" s="233">
        <v>2010</v>
      </c>
      <c r="D152" s="110" t="s">
        <v>284</v>
      </c>
      <c r="E152" s="110">
        <v>10200</v>
      </c>
      <c r="F152" s="113" t="s">
        <v>325</v>
      </c>
      <c r="G152" s="235">
        <v>265280.06012615399</v>
      </c>
      <c r="H152" s="236" t="s">
        <v>138</v>
      </c>
    </row>
    <row r="153" spans="1:8" x14ac:dyDescent="0.2">
      <c r="A153" s="107" t="s">
        <v>374</v>
      </c>
      <c r="B153" s="107" t="s">
        <v>375</v>
      </c>
      <c r="C153" s="233">
        <v>2010</v>
      </c>
      <c r="D153" s="110" t="s">
        <v>284</v>
      </c>
      <c r="E153" s="110">
        <v>10210</v>
      </c>
      <c r="F153" s="113" t="s">
        <v>332</v>
      </c>
      <c r="G153" s="235">
        <v>765603.78032904305</v>
      </c>
      <c r="H153" s="236" t="s">
        <v>138</v>
      </c>
    </row>
    <row r="154" spans="1:8" x14ac:dyDescent="0.2">
      <c r="A154" s="107" t="s">
        <v>374</v>
      </c>
      <c r="B154" s="107" t="s">
        <v>375</v>
      </c>
      <c r="C154" s="233">
        <v>2010</v>
      </c>
      <c r="D154" s="110" t="s">
        <v>284</v>
      </c>
      <c r="E154" s="110">
        <v>10400</v>
      </c>
      <c r="F154" s="113" t="s">
        <v>333</v>
      </c>
      <c r="G154" s="235">
        <v>64755.003594564994</v>
      </c>
      <c r="H154" s="236" t="s">
        <v>138</v>
      </c>
    </row>
    <row r="155" spans="1:8" x14ac:dyDescent="0.2">
      <c r="A155" s="107" t="s">
        <v>374</v>
      </c>
      <c r="B155" s="107" t="s">
        <v>375</v>
      </c>
      <c r="C155" s="233">
        <v>2010</v>
      </c>
      <c r="D155" s="110" t="s">
        <v>284</v>
      </c>
      <c r="E155" s="110">
        <v>10910</v>
      </c>
      <c r="F155" s="113" t="s">
        <v>301</v>
      </c>
      <c r="G155" s="235">
        <v>1245711.3872649372</v>
      </c>
      <c r="H155" s="236" t="s">
        <v>155</v>
      </c>
    </row>
    <row r="156" spans="1:8" x14ac:dyDescent="0.2">
      <c r="A156" s="107" t="s">
        <v>374</v>
      </c>
      <c r="B156" s="107" t="s">
        <v>375</v>
      </c>
      <c r="C156" s="233">
        <v>2010</v>
      </c>
      <c r="D156" s="110" t="s">
        <v>284</v>
      </c>
      <c r="E156" s="110">
        <v>10990</v>
      </c>
      <c r="F156" s="113" t="s">
        <v>84</v>
      </c>
      <c r="G156" s="235">
        <v>1378672.5902194059</v>
      </c>
      <c r="H156" s="236" t="s">
        <v>231</v>
      </c>
    </row>
    <row r="157" spans="1:8" x14ac:dyDescent="0.2">
      <c r="A157" s="107" t="s">
        <v>374</v>
      </c>
      <c r="B157" s="107" t="s">
        <v>375</v>
      </c>
      <c r="C157" s="233">
        <v>2010</v>
      </c>
      <c r="D157" s="110" t="s">
        <v>284</v>
      </c>
      <c r="E157" s="110">
        <v>11000</v>
      </c>
      <c r="F157" s="113" t="s">
        <v>336</v>
      </c>
      <c r="G157" s="235">
        <v>16514.408071588001</v>
      </c>
      <c r="H157" s="236" t="s">
        <v>86</v>
      </c>
    </row>
    <row r="158" spans="1:8" x14ac:dyDescent="0.2">
      <c r="A158" s="107" t="s">
        <v>374</v>
      </c>
      <c r="B158" s="107" t="s">
        <v>375</v>
      </c>
      <c r="C158" s="233">
        <v>2010</v>
      </c>
      <c r="D158" s="110" t="s">
        <v>284</v>
      </c>
      <c r="E158" s="110">
        <v>11020</v>
      </c>
      <c r="F158" s="113" t="s">
        <v>294</v>
      </c>
      <c r="G158" s="235">
        <v>7756.36601625</v>
      </c>
      <c r="H158" s="236" t="s">
        <v>86</v>
      </c>
    </row>
    <row r="159" spans="1:8" x14ac:dyDescent="0.2">
      <c r="A159" s="107" t="s">
        <v>374</v>
      </c>
      <c r="B159" s="107" t="s">
        <v>375</v>
      </c>
      <c r="C159" s="233">
        <v>2010</v>
      </c>
      <c r="D159" s="110" t="s">
        <v>284</v>
      </c>
      <c r="E159" s="110">
        <v>11070</v>
      </c>
      <c r="F159" s="113" t="s">
        <v>337</v>
      </c>
      <c r="G159" s="235">
        <v>93720.828947129005</v>
      </c>
      <c r="H159" s="236" t="s">
        <v>86</v>
      </c>
    </row>
    <row r="160" spans="1:8" x14ac:dyDescent="0.2">
      <c r="A160" s="107" t="s">
        <v>374</v>
      </c>
      <c r="B160" s="107" t="s">
        <v>375</v>
      </c>
      <c r="C160" s="233">
        <v>2010</v>
      </c>
      <c r="D160" s="110" t="s">
        <v>284</v>
      </c>
      <c r="E160" s="110">
        <v>11100</v>
      </c>
      <c r="F160" s="113" t="s">
        <v>338</v>
      </c>
      <c r="G160" s="235">
        <v>4231.0369107280003</v>
      </c>
      <c r="H160" s="236" t="s">
        <v>86</v>
      </c>
    </row>
    <row r="161" spans="1:8" x14ac:dyDescent="0.2">
      <c r="A161" s="107" t="s">
        <v>374</v>
      </c>
      <c r="B161" s="107" t="s">
        <v>375</v>
      </c>
      <c r="C161" s="233">
        <v>2010</v>
      </c>
      <c r="D161" s="110" t="s">
        <v>284</v>
      </c>
      <c r="E161" s="110">
        <v>11150</v>
      </c>
      <c r="F161" s="113" t="s">
        <v>327</v>
      </c>
      <c r="G161" s="235">
        <v>389499.84705721203</v>
      </c>
      <c r="H161" s="236" t="s">
        <v>86</v>
      </c>
    </row>
    <row r="162" spans="1:8" x14ac:dyDescent="0.2">
      <c r="A162" s="107" t="s">
        <v>374</v>
      </c>
      <c r="B162" s="107" t="s">
        <v>375</v>
      </c>
      <c r="C162" s="233">
        <v>2010</v>
      </c>
      <c r="D162" s="110" t="s">
        <v>284</v>
      </c>
      <c r="E162" s="110">
        <v>11151</v>
      </c>
      <c r="F162" s="113" t="s">
        <v>376</v>
      </c>
      <c r="G162" s="235">
        <v>5393.548051325999</v>
      </c>
      <c r="H162" s="236" t="s">
        <v>86</v>
      </c>
    </row>
    <row r="163" spans="1:8" x14ac:dyDescent="0.2">
      <c r="A163" s="107" t="s">
        <v>374</v>
      </c>
      <c r="B163" s="107" t="s">
        <v>375</v>
      </c>
      <c r="C163" s="233">
        <v>2010</v>
      </c>
      <c r="D163" s="110" t="s">
        <v>284</v>
      </c>
      <c r="E163" s="110">
        <v>11200</v>
      </c>
      <c r="F163" s="113" t="s">
        <v>311</v>
      </c>
      <c r="G163" s="235">
        <v>83859.444532388006</v>
      </c>
      <c r="H163" s="236" t="s">
        <v>86</v>
      </c>
    </row>
    <row r="164" spans="1:8" x14ac:dyDescent="0.2">
      <c r="A164" s="107" t="s">
        <v>374</v>
      </c>
      <c r="B164" s="107" t="s">
        <v>375</v>
      </c>
      <c r="C164" s="233">
        <v>2010</v>
      </c>
      <c r="D164" s="110" t="s">
        <v>284</v>
      </c>
      <c r="E164" s="110">
        <v>11300</v>
      </c>
      <c r="F164" s="113" t="s">
        <v>312</v>
      </c>
      <c r="G164" s="235">
        <v>4020.9792605830003</v>
      </c>
      <c r="H164" s="236" t="s">
        <v>86</v>
      </c>
    </row>
    <row r="165" spans="1:8" x14ac:dyDescent="0.2">
      <c r="A165" s="107" t="s">
        <v>374</v>
      </c>
      <c r="B165" s="107" t="s">
        <v>375</v>
      </c>
      <c r="C165" s="233">
        <v>2010</v>
      </c>
      <c r="D165" s="110" t="s">
        <v>284</v>
      </c>
      <c r="E165" s="110">
        <v>11301</v>
      </c>
      <c r="F165" s="113" t="s">
        <v>342</v>
      </c>
      <c r="G165" s="235">
        <v>-992.82615261700005</v>
      </c>
      <c r="H165" s="236" t="s">
        <v>86</v>
      </c>
    </row>
    <row r="166" spans="1:8" x14ac:dyDescent="0.2">
      <c r="A166" s="107" t="s">
        <v>374</v>
      </c>
      <c r="B166" s="107" t="s">
        <v>375</v>
      </c>
      <c r="C166" s="233">
        <v>2010</v>
      </c>
      <c r="D166" s="110" t="s">
        <v>284</v>
      </c>
      <c r="E166" s="110">
        <v>11500</v>
      </c>
      <c r="F166" s="113" t="s">
        <v>343</v>
      </c>
      <c r="G166" s="235">
        <v>35010.286509719997</v>
      </c>
      <c r="H166" s="236" t="s">
        <v>86</v>
      </c>
    </row>
    <row r="167" spans="1:8" x14ac:dyDescent="0.2">
      <c r="A167" s="107" t="s">
        <v>374</v>
      </c>
      <c r="B167" s="107" t="s">
        <v>375</v>
      </c>
      <c r="C167" s="233">
        <v>2010</v>
      </c>
      <c r="D167" s="110" t="s">
        <v>284</v>
      </c>
      <c r="E167" s="110">
        <v>11600</v>
      </c>
      <c r="F167" s="113" t="s">
        <v>344</v>
      </c>
      <c r="G167" s="235">
        <v>3051.6849899999997</v>
      </c>
      <c r="H167" s="236" t="s">
        <v>86</v>
      </c>
    </row>
    <row r="168" spans="1:8" x14ac:dyDescent="0.2">
      <c r="A168" s="107" t="s">
        <v>374</v>
      </c>
      <c r="B168" s="107" t="s">
        <v>375</v>
      </c>
      <c r="C168" s="233">
        <v>2010</v>
      </c>
      <c r="D168" s="110" t="s">
        <v>284</v>
      </c>
      <c r="E168" s="110">
        <v>11650</v>
      </c>
      <c r="F168" s="113" t="s">
        <v>345</v>
      </c>
      <c r="G168" s="235">
        <v>44118.029059838002</v>
      </c>
      <c r="H168" s="236" t="s">
        <v>86</v>
      </c>
    </row>
    <row r="169" spans="1:8" x14ac:dyDescent="0.2">
      <c r="A169" s="107" t="s">
        <v>374</v>
      </c>
      <c r="B169" s="107" t="s">
        <v>375</v>
      </c>
      <c r="C169" s="233">
        <v>2010</v>
      </c>
      <c r="D169" s="110" t="s">
        <v>284</v>
      </c>
      <c r="E169" s="110">
        <v>11651</v>
      </c>
      <c r="F169" s="113" t="s">
        <v>346</v>
      </c>
      <c r="G169" s="235">
        <v>11312.946636576999</v>
      </c>
      <c r="H169" s="236" t="s">
        <v>86</v>
      </c>
    </row>
    <row r="170" spans="1:8" x14ac:dyDescent="0.2">
      <c r="A170" s="107" t="s">
        <v>374</v>
      </c>
      <c r="B170" s="107" t="s">
        <v>375</v>
      </c>
      <c r="C170" s="233">
        <v>2010</v>
      </c>
      <c r="D170" s="110" t="s">
        <v>284</v>
      </c>
      <c r="E170" s="110">
        <v>11700</v>
      </c>
      <c r="F170" s="113" t="s">
        <v>365</v>
      </c>
      <c r="G170" s="235">
        <v>1785.8008460000001</v>
      </c>
      <c r="H170" s="236" t="s">
        <v>86</v>
      </c>
    </row>
    <row r="171" spans="1:8" x14ac:dyDescent="0.2">
      <c r="A171" s="107" t="s">
        <v>374</v>
      </c>
      <c r="B171" s="107" t="s">
        <v>375</v>
      </c>
      <c r="C171" s="233">
        <v>2010</v>
      </c>
      <c r="D171" s="110" t="s">
        <v>284</v>
      </c>
      <c r="E171" s="110">
        <v>11960</v>
      </c>
      <c r="F171" s="113" t="s">
        <v>348</v>
      </c>
      <c r="G171" s="235">
        <v>5597.8074999899991</v>
      </c>
      <c r="H171" s="236" t="s">
        <v>86</v>
      </c>
    </row>
    <row r="172" spans="1:8" x14ac:dyDescent="0.2">
      <c r="A172" s="107" t="s">
        <v>374</v>
      </c>
      <c r="B172" s="107" t="s">
        <v>375</v>
      </c>
      <c r="C172" s="233">
        <v>2010</v>
      </c>
      <c r="D172" s="110" t="s">
        <v>284</v>
      </c>
      <c r="E172" s="110">
        <v>11980</v>
      </c>
      <c r="F172" s="113" t="s">
        <v>317</v>
      </c>
      <c r="G172" s="235">
        <v>7339.8675278000001</v>
      </c>
      <c r="H172" s="236" t="s">
        <v>86</v>
      </c>
    </row>
    <row r="173" spans="1:8" x14ac:dyDescent="0.2">
      <c r="A173" s="107" t="s">
        <v>374</v>
      </c>
      <c r="B173" s="107" t="s">
        <v>375</v>
      </c>
      <c r="C173" s="233">
        <v>2010</v>
      </c>
      <c r="D173" s="110" t="s">
        <v>284</v>
      </c>
      <c r="E173" s="110">
        <v>11990</v>
      </c>
      <c r="F173" s="113" t="s">
        <v>349</v>
      </c>
      <c r="G173" s="235">
        <v>686.51609737999991</v>
      </c>
      <c r="H173" s="236" t="s">
        <v>86</v>
      </c>
    </row>
    <row r="174" spans="1:8" x14ac:dyDescent="0.2">
      <c r="A174" s="107" t="s">
        <v>374</v>
      </c>
      <c r="B174" s="107" t="s">
        <v>375</v>
      </c>
      <c r="C174" s="233">
        <v>2010</v>
      </c>
      <c r="D174" s="110" t="s">
        <v>284</v>
      </c>
      <c r="E174" s="110">
        <v>12000</v>
      </c>
      <c r="F174" s="113" t="s">
        <v>314</v>
      </c>
      <c r="G174" s="235">
        <v>44019.120558551003</v>
      </c>
      <c r="H174" s="236" t="s">
        <v>86</v>
      </c>
    </row>
    <row r="175" spans="1:8" x14ac:dyDescent="0.2">
      <c r="A175" s="107" t="s">
        <v>374</v>
      </c>
      <c r="B175" s="107" t="s">
        <v>375</v>
      </c>
      <c r="C175" s="233">
        <v>2010</v>
      </c>
      <c r="D175" s="110" t="s">
        <v>284</v>
      </c>
      <c r="E175" s="110">
        <v>12400</v>
      </c>
      <c r="F175" s="113" t="s">
        <v>350</v>
      </c>
      <c r="G175" s="235">
        <v>0</v>
      </c>
      <c r="H175" s="236" t="s">
        <v>86</v>
      </c>
    </row>
    <row r="176" spans="1:8" x14ac:dyDescent="0.2">
      <c r="A176" s="107" t="s">
        <v>374</v>
      </c>
      <c r="B176" s="107" t="s">
        <v>375</v>
      </c>
      <c r="C176" s="233">
        <v>2010</v>
      </c>
      <c r="D176" s="110" t="s">
        <v>284</v>
      </c>
      <c r="E176" s="110">
        <v>12700</v>
      </c>
      <c r="F176" s="113" t="s">
        <v>320</v>
      </c>
      <c r="G176" s="235">
        <v>173023.47484737501</v>
      </c>
      <c r="H176" s="236" t="s">
        <v>86</v>
      </c>
    </row>
    <row r="177" spans="1:8" x14ac:dyDescent="0.2">
      <c r="A177" s="107" t="s">
        <v>374</v>
      </c>
      <c r="B177" s="107" t="s">
        <v>375</v>
      </c>
      <c r="C177" s="233">
        <v>2010</v>
      </c>
      <c r="D177" s="110" t="s">
        <v>284</v>
      </c>
      <c r="E177" s="110">
        <v>13700</v>
      </c>
      <c r="F177" s="113" t="s">
        <v>360</v>
      </c>
      <c r="G177" s="235">
        <v>1695.3805500000001</v>
      </c>
      <c r="H177" s="236" t="s">
        <v>86</v>
      </c>
    </row>
    <row r="178" spans="1:8" x14ac:dyDescent="0.2">
      <c r="A178" s="107" t="s">
        <v>374</v>
      </c>
      <c r="B178" s="107" t="s">
        <v>375</v>
      </c>
      <c r="C178" s="233">
        <v>2010</v>
      </c>
      <c r="D178" s="110" t="s">
        <v>284</v>
      </c>
      <c r="E178" s="110">
        <v>14290</v>
      </c>
      <c r="F178" s="113" t="s">
        <v>296</v>
      </c>
      <c r="G178" s="235">
        <v>117439.564522813</v>
      </c>
      <c r="H178" s="236" t="s">
        <v>87</v>
      </c>
    </row>
    <row r="179" spans="1:8" x14ac:dyDescent="0.2">
      <c r="A179" s="107" t="s">
        <v>374</v>
      </c>
      <c r="B179" s="107" t="s">
        <v>375</v>
      </c>
      <c r="C179" s="233">
        <v>2010</v>
      </c>
      <c r="D179" s="110" t="s">
        <v>284</v>
      </c>
      <c r="E179" s="110">
        <v>16000</v>
      </c>
      <c r="F179" s="113" t="s">
        <v>351</v>
      </c>
      <c r="G179" s="235">
        <v>-2734081.4397925995</v>
      </c>
      <c r="H179" s="236" t="s">
        <v>352</v>
      </c>
    </row>
    <row r="180" spans="1:8" x14ac:dyDescent="0.2">
      <c r="A180" s="107" t="s">
        <v>374</v>
      </c>
      <c r="B180" s="107" t="s">
        <v>375</v>
      </c>
      <c r="C180" s="233">
        <v>2010</v>
      </c>
      <c r="D180" s="110" t="s">
        <v>284</v>
      </c>
      <c r="E180" s="110">
        <v>16110</v>
      </c>
      <c r="F180" s="113" t="s">
        <v>354</v>
      </c>
      <c r="G180" s="235">
        <v>-254480.01131609999</v>
      </c>
      <c r="H180" s="236" t="s">
        <v>139</v>
      </c>
    </row>
    <row r="181" spans="1:8" x14ac:dyDescent="0.2">
      <c r="A181" s="107" t="s">
        <v>374</v>
      </c>
      <c r="B181" s="107" t="s">
        <v>375</v>
      </c>
      <c r="C181" s="233">
        <v>2010</v>
      </c>
      <c r="D181" s="110" t="s">
        <v>284</v>
      </c>
      <c r="E181" s="110">
        <v>16203</v>
      </c>
      <c r="F181" s="113" t="s">
        <v>355</v>
      </c>
      <c r="G181" s="235">
        <v>-41045.931688016004</v>
      </c>
      <c r="H181" s="236" t="s">
        <v>139</v>
      </c>
    </row>
    <row r="182" spans="1:8" x14ac:dyDescent="0.2">
      <c r="A182" s="107" t="s">
        <v>374</v>
      </c>
      <c r="B182" s="107" t="s">
        <v>375</v>
      </c>
      <c r="C182" s="233">
        <v>2010</v>
      </c>
      <c r="D182" s="110" t="s">
        <v>284</v>
      </c>
      <c r="E182" s="110">
        <v>17000</v>
      </c>
      <c r="F182" s="113" t="s">
        <v>356</v>
      </c>
      <c r="G182" s="235">
        <v>-90584.182786499994</v>
      </c>
      <c r="H182" s="236" t="s">
        <v>357</v>
      </c>
    </row>
    <row r="183" spans="1:8" x14ac:dyDescent="0.2">
      <c r="A183" s="107" t="s">
        <v>374</v>
      </c>
      <c r="B183" s="107" t="s">
        <v>375</v>
      </c>
      <c r="C183" s="233">
        <v>2010</v>
      </c>
      <c r="D183" s="110" t="s">
        <v>284</v>
      </c>
      <c r="E183" s="110">
        <v>17100</v>
      </c>
      <c r="F183" s="113" t="s">
        <v>328</v>
      </c>
      <c r="G183" s="235">
        <v>-875763.51640059997</v>
      </c>
      <c r="H183" s="236" t="s">
        <v>89</v>
      </c>
    </row>
    <row r="184" spans="1:8" x14ac:dyDescent="0.2">
      <c r="A184" s="107" t="s">
        <v>374</v>
      </c>
      <c r="B184" s="107" t="s">
        <v>375</v>
      </c>
      <c r="C184" s="233">
        <v>2010</v>
      </c>
      <c r="D184" s="110" t="s">
        <v>284</v>
      </c>
      <c r="E184" s="110">
        <v>17110</v>
      </c>
      <c r="F184" s="113" t="s">
        <v>329</v>
      </c>
      <c r="G184" s="235">
        <v>-57755.353733001997</v>
      </c>
      <c r="H184" s="236" t="s">
        <v>89</v>
      </c>
    </row>
    <row r="185" spans="1:8" x14ac:dyDescent="0.2">
      <c r="A185" s="107" t="s">
        <v>374</v>
      </c>
      <c r="B185" s="107" t="s">
        <v>375</v>
      </c>
      <c r="C185" s="233">
        <v>2010</v>
      </c>
      <c r="D185" s="110" t="s">
        <v>284</v>
      </c>
      <c r="E185" s="110">
        <v>17290</v>
      </c>
      <c r="F185" s="113" t="s">
        <v>297</v>
      </c>
      <c r="G185" s="235">
        <v>-117439.564522813</v>
      </c>
      <c r="H185" s="236" t="s">
        <v>88</v>
      </c>
    </row>
    <row r="186" spans="1:8" x14ac:dyDescent="0.2">
      <c r="A186" s="107" t="s">
        <v>374</v>
      </c>
      <c r="B186" s="107" t="s">
        <v>375</v>
      </c>
      <c r="C186" s="233">
        <v>2010</v>
      </c>
      <c r="D186" s="110" t="s">
        <v>284</v>
      </c>
      <c r="E186" s="110">
        <v>17700</v>
      </c>
      <c r="F186" s="113" t="s">
        <v>291</v>
      </c>
      <c r="G186" s="235">
        <v>-13767.6203197</v>
      </c>
      <c r="H186" s="236" t="s">
        <v>377</v>
      </c>
    </row>
    <row r="187" spans="1:8" x14ac:dyDescent="0.2">
      <c r="A187" s="107" t="s">
        <v>378</v>
      </c>
      <c r="B187" s="107" t="s">
        <v>379</v>
      </c>
      <c r="C187" s="233">
        <v>2010</v>
      </c>
      <c r="D187" s="110" t="s">
        <v>284</v>
      </c>
      <c r="E187" s="110">
        <v>10100</v>
      </c>
      <c r="F187" s="113" t="s">
        <v>306</v>
      </c>
      <c r="G187" s="235">
        <v>2704871.4457332245</v>
      </c>
      <c r="H187" s="236" t="s">
        <v>138</v>
      </c>
    </row>
    <row r="188" spans="1:8" x14ac:dyDescent="0.2">
      <c r="A188" s="107" t="s">
        <v>378</v>
      </c>
      <c r="B188" s="107" t="s">
        <v>379</v>
      </c>
      <c r="C188" s="233">
        <v>2010</v>
      </c>
      <c r="D188" s="110" t="s">
        <v>284</v>
      </c>
      <c r="E188" s="110">
        <v>10200</v>
      </c>
      <c r="F188" s="113" t="s">
        <v>325</v>
      </c>
      <c r="G188" s="235">
        <v>85724.046666351991</v>
      </c>
      <c r="H188" s="236" t="s">
        <v>138</v>
      </c>
    </row>
    <row r="189" spans="1:8" x14ac:dyDescent="0.2">
      <c r="A189" s="107" t="s">
        <v>378</v>
      </c>
      <c r="B189" s="107" t="s">
        <v>379</v>
      </c>
      <c r="C189" s="233">
        <v>2010</v>
      </c>
      <c r="D189" s="110" t="s">
        <v>284</v>
      </c>
      <c r="E189" s="110">
        <v>10210</v>
      </c>
      <c r="F189" s="113" t="s">
        <v>332</v>
      </c>
      <c r="G189" s="235">
        <v>175810.47702590903</v>
      </c>
      <c r="H189" s="236" t="s">
        <v>138</v>
      </c>
    </row>
    <row r="190" spans="1:8" x14ac:dyDescent="0.2">
      <c r="A190" s="107" t="s">
        <v>378</v>
      </c>
      <c r="B190" s="107" t="s">
        <v>379</v>
      </c>
      <c r="C190" s="233">
        <v>2010</v>
      </c>
      <c r="D190" s="110" t="s">
        <v>284</v>
      </c>
      <c r="E190" s="110">
        <v>10400</v>
      </c>
      <c r="F190" s="113" t="s">
        <v>333</v>
      </c>
      <c r="G190" s="235">
        <v>16856.660194484997</v>
      </c>
      <c r="H190" s="236" t="s">
        <v>138</v>
      </c>
    </row>
    <row r="191" spans="1:8" x14ac:dyDescent="0.2">
      <c r="A191" s="107" t="s">
        <v>378</v>
      </c>
      <c r="B191" s="107" t="s">
        <v>379</v>
      </c>
      <c r="C191" s="233">
        <v>2010</v>
      </c>
      <c r="D191" s="110" t="s">
        <v>284</v>
      </c>
      <c r="E191" s="110">
        <v>10910</v>
      </c>
      <c r="F191" s="113" t="s">
        <v>301</v>
      </c>
      <c r="G191" s="235">
        <v>378118.40704641503</v>
      </c>
      <c r="H191" s="236" t="s">
        <v>155</v>
      </c>
    </row>
    <row r="192" spans="1:8" x14ac:dyDescent="0.2">
      <c r="A192" s="107" t="s">
        <v>378</v>
      </c>
      <c r="B192" s="107" t="s">
        <v>379</v>
      </c>
      <c r="C192" s="233">
        <v>2010</v>
      </c>
      <c r="D192" s="110" t="s">
        <v>284</v>
      </c>
      <c r="E192" s="110">
        <v>10990</v>
      </c>
      <c r="F192" s="113" t="s">
        <v>84</v>
      </c>
      <c r="G192" s="235">
        <v>444678.74227091594</v>
      </c>
      <c r="H192" s="236" t="s">
        <v>231</v>
      </c>
    </row>
    <row r="193" spans="1:8" x14ac:dyDescent="0.2">
      <c r="A193" s="107" t="s">
        <v>378</v>
      </c>
      <c r="B193" s="107" t="s">
        <v>379</v>
      </c>
      <c r="C193" s="233">
        <v>2010</v>
      </c>
      <c r="D193" s="110" t="s">
        <v>284</v>
      </c>
      <c r="E193" s="110">
        <v>11000</v>
      </c>
      <c r="F193" s="113" t="s">
        <v>336</v>
      </c>
      <c r="G193" s="235">
        <v>2381.33152053</v>
      </c>
      <c r="H193" s="236" t="s">
        <v>86</v>
      </c>
    </row>
    <row r="194" spans="1:8" x14ac:dyDescent="0.2">
      <c r="A194" s="107" t="s">
        <v>378</v>
      </c>
      <c r="B194" s="107" t="s">
        <v>379</v>
      </c>
      <c r="C194" s="233">
        <v>2010</v>
      </c>
      <c r="D194" s="110" t="s">
        <v>284</v>
      </c>
      <c r="E194" s="110">
        <v>11010</v>
      </c>
      <c r="F194" s="113" t="s">
        <v>310</v>
      </c>
      <c r="G194" s="235">
        <v>3955.8879499999998</v>
      </c>
      <c r="H194" s="236" t="s">
        <v>86</v>
      </c>
    </row>
    <row r="195" spans="1:8" x14ac:dyDescent="0.2">
      <c r="A195" s="107" t="s">
        <v>378</v>
      </c>
      <c r="B195" s="107" t="s">
        <v>379</v>
      </c>
      <c r="C195" s="233">
        <v>2010</v>
      </c>
      <c r="D195" s="110" t="s">
        <v>284</v>
      </c>
      <c r="E195" s="110">
        <v>11020</v>
      </c>
      <c r="F195" s="113" t="s">
        <v>294</v>
      </c>
      <c r="G195" s="235">
        <v>5838.1446467579999</v>
      </c>
      <c r="H195" s="236" t="s">
        <v>86</v>
      </c>
    </row>
    <row r="196" spans="1:8" x14ac:dyDescent="0.2">
      <c r="A196" s="107" t="s">
        <v>378</v>
      </c>
      <c r="B196" s="107" t="s">
        <v>379</v>
      </c>
      <c r="C196" s="233">
        <v>2010</v>
      </c>
      <c r="D196" s="110" t="s">
        <v>284</v>
      </c>
      <c r="E196" s="110">
        <v>11070</v>
      </c>
      <c r="F196" s="113" t="s">
        <v>337</v>
      </c>
      <c r="G196" s="235">
        <v>57702.695213119005</v>
      </c>
      <c r="H196" s="236" t="s">
        <v>86</v>
      </c>
    </row>
    <row r="197" spans="1:8" x14ac:dyDescent="0.2">
      <c r="A197" s="107" t="s">
        <v>378</v>
      </c>
      <c r="B197" s="107" t="s">
        <v>379</v>
      </c>
      <c r="C197" s="233">
        <v>2010</v>
      </c>
      <c r="D197" s="110" t="s">
        <v>284</v>
      </c>
      <c r="E197" s="110">
        <v>11100</v>
      </c>
      <c r="F197" s="113" t="s">
        <v>338</v>
      </c>
      <c r="G197" s="235">
        <v>94.037107840000004</v>
      </c>
      <c r="H197" s="236" t="s">
        <v>86</v>
      </c>
    </row>
    <row r="198" spans="1:8" x14ac:dyDescent="0.2">
      <c r="A198" s="107" t="s">
        <v>378</v>
      </c>
      <c r="B198" s="107" t="s">
        <v>379</v>
      </c>
      <c r="C198" s="233">
        <v>2010</v>
      </c>
      <c r="D198" s="110" t="s">
        <v>284</v>
      </c>
      <c r="E198" s="110">
        <v>11150</v>
      </c>
      <c r="F198" s="113" t="s">
        <v>327</v>
      </c>
      <c r="G198" s="235">
        <v>105840.46025447</v>
      </c>
      <c r="H198" s="236" t="s">
        <v>86</v>
      </c>
    </row>
    <row r="199" spans="1:8" x14ac:dyDescent="0.2">
      <c r="A199" s="107" t="s">
        <v>378</v>
      </c>
      <c r="B199" s="107" t="s">
        <v>379</v>
      </c>
      <c r="C199" s="233">
        <v>2010</v>
      </c>
      <c r="D199" s="110" t="s">
        <v>284</v>
      </c>
      <c r="E199" s="110">
        <v>11200</v>
      </c>
      <c r="F199" s="113" t="s">
        <v>311</v>
      </c>
      <c r="G199" s="235">
        <v>848.24409931300011</v>
      </c>
      <c r="H199" s="236" t="s">
        <v>86</v>
      </c>
    </row>
    <row r="200" spans="1:8" x14ac:dyDescent="0.2">
      <c r="A200" s="107" t="s">
        <v>378</v>
      </c>
      <c r="B200" s="107" t="s">
        <v>379</v>
      </c>
      <c r="C200" s="233">
        <v>2010</v>
      </c>
      <c r="D200" s="110" t="s">
        <v>284</v>
      </c>
      <c r="E200" s="110">
        <v>11210</v>
      </c>
      <c r="F200" s="113" t="s">
        <v>339</v>
      </c>
      <c r="G200" s="235">
        <v>6402.8872104999991</v>
      </c>
      <c r="H200" s="236" t="s">
        <v>86</v>
      </c>
    </row>
    <row r="201" spans="1:8" x14ac:dyDescent="0.2">
      <c r="A201" s="107" t="s">
        <v>378</v>
      </c>
      <c r="B201" s="107" t="s">
        <v>379</v>
      </c>
      <c r="C201" s="233">
        <v>2010</v>
      </c>
      <c r="D201" s="110" t="s">
        <v>284</v>
      </c>
      <c r="E201" s="110">
        <v>11250</v>
      </c>
      <c r="F201" s="113" t="s">
        <v>370</v>
      </c>
      <c r="G201" s="235">
        <v>0</v>
      </c>
      <c r="H201" s="236" t="s">
        <v>86</v>
      </c>
    </row>
    <row r="202" spans="1:8" x14ac:dyDescent="0.2">
      <c r="A202" s="107" t="s">
        <v>378</v>
      </c>
      <c r="B202" s="107" t="s">
        <v>379</v>
      </c>
      <c r="C202" s="233">
        <v>2010</v>
      </c>
      <c r="D202" s="110" t="s">
        <v>284</v>
      </c>
      <c r="E202" s="110">
        <v>11300</v>
      </c>
      <c r="F202" s="113" t="s">
        <v>312</v>
      </c>
      <c r="G202" s="235">
        <v>12872.775860336002</v>
      </c>
      <c r="H202" s="236" t="s">
        <v>86</v>
      </c>
    </row>
    <row r="203" spans="1:8" x14ac:dyDescent="0.2">
      <c r="A203" s="107" t="s">
        <v>378</v>
      </c>
      <c r="B203" s="107" t="s">
        <v>379</v>
      </c>
      <c r="C203" s="233">
        <v>2010</v>
      </c>
      <c r="D203" s="110" t="s">
        <v>284</v>
      </c>
      <c r="E203" s="110">
        <v>11301</v>
      </c>
      <c r="F203" s="113" t="s">
        <v>342</v>
      </c>
      <c r="G203" s="235">
        <v>-4520.9469847780001</v>
      </c>
      <c r="H203" s="236" t="s">
        <v>86</v>
      </c>
    </row>
    <row r="204" spans="1:8" x14ac:dyDescent="0.2">
      <c r="A204" s="107" t="s">
        <v>378</v>
      </c>
      <c r="B204" s="107" t="s">
        <v>379</v>
      </c>
      <c r="C204" s="233">
        <v>2010</v>
      </c>
      <c r="D204" s="110" t="s">
        <v>284</v>
      </c>
      <c r="E204" s="110">
        <v>11500</v>
      </c>
      <c r="F204" s="113" t="s">
        <v>343</v>
      </c>
      <c r="G204" s="235">
        <v>5668.2223054999995</v>
      </c>
      <c r="H204" s="236" t="s">
        <v>86</v>
      </c>
    </row>
    <row r="205" spans="1:8" x14ac:dyDescent="0.2">
      <c r="A205" s="107" t="s">
        <v>378</v>
      </c>
      <c r="B205" s="107" t="s">
        <v>379</v>
      </c>
      <c r="C205" s="233">
        <v>2010</v>
      </c>
      <c r="D205" s="110" t="s">
        <v>284</v>
      </c>
      <c r="E205" s="110">
        <v>11600</v>
      </c>
      <c r="F205" s="113" t="s">
        <v>344</v>
      </c>
      <c r="G205" s="235">
        <v>0</v>
      </c>
      <c r="H205" s="236" t="s">
        <v>86</v>
      </c>
    </row>
    <row r="206" spans="1:8" x14ac:dyDescent="0.2">
      <c r="A206" s="107" t="s">
        <v>378</v>
      </c>
      <c r="B206" s="107" t="s">
        <v>379</v>
      </c>
      <c r="C206" s="233">
        <v>2010</v>
      </c>
      <c r="D206" s="110" t="s">
        <v>284</v>
      </c>
      <c r="E206" s="110">
        <v>11650</v>
      </c>
      <c r="F206" s="113" t="s">
        <v>345</v>
      </c>
      <c r="G206" s="235">
        <v>13868.823235998001</v>
      </c>
      <c r="H206" s="236" t="s">
        <v>86</v>
      </c>
    </row>
    <row r="207" spans="1:8" x14ac:dyDescent="0.2">
      <c r="A207" s="107" t="s">
        <v>378</v>
      </c>
      <c r="B207" s="107" t="s">
        <v>379</v>
      </c>
      <c r="C207" s="233">
        <v>2010</v>
      </c>
      <c r="D207" s="110" t="s">
        <v>284</v>
      </c>
      <c r="E207" s="110">
        <v>11651</v>
      </c>
      <c r="F207" s="113" t="s">
        <v>346</v>
      </c>
      <c r="G207" s="235">
        <v>5158.4100715779996</v>
      </c>
      <c r="H207" s="236" t="s">
        <v>86</v>
      </c>
    </row>
    <row r="208" spans="1:8" x14ac:dyDescent="0.2">
      <c r="A208" s="107" t="s">
        <v>378</v>
      </c>
      <c r="B208" s="107" t="s">
        <v>379</v>
      </c>
      <c r="C208" s="233">
        <v>2010</v>
      </c>
      <c r="D208" s="110" t="s">
        <v>284</v>
      </c>
      <c r="E208" s="110">
        <v>11700</v>
      </c>
      <c r="F208" s="113" t="s">
        <v>365</v>
      </c>
      <c r="G208" s="235">
        <v>8161.697598144</v>
      </c>
      <c r="H208" s="236" t="s">
        <v>86</v>
      </c>
    </row>
    <row r="209" spans="1:8" x14ac:dyDescent="0.2">
      <c r="A209" s="107" t="s">
        <v>378</v>
      </c>
      <c r="B209" s="107" t="s">
        <v>379</v>
      </c>
      <c r="C209" s="233">
        <v>2010</v>
      </c>
      <c r="D209" s="110" t="s">
        <v>284</v>
      </c>
      <c r="E209" s="110">
        <v>11900</v>
      </c>
      <c r="F209" s="113" t="s">
        <v>366</v>
      </c>
      <c r="G209" s="235">
        <v>226.05073999999999</v>
      </c>
      <c r="H209" s="236" t="s">
        <v>86</v>
      </c>
    </row>
    <row r="210" spans="1:8" x14ac:dyDescent="0.2">
      <c r="A210" s="107" t="s">
        <v>378</v>
      </c>
      <c r="B210" s="107" t="s">
        <v>379</v>
      </c>
      <c r="C210" s="233">
        <v>2010</v>
      </c>
      <c r="D210" s="110" t="s">
        <v>284</v>
      </c>
      <c r="E210" s="110">
        <v>11980</v>
      </c>
      <c r="F210" s="113" t="s">
        <v>317</v>
      </c>
      <c r="G210" s="235">
        <v>4747.0655400000005</v>
      </c>
      <c r="H210" s="236" t="s">
        <v>86</v>
      </c>
    </row>
    <row r="211" spans="1:8" x14ac:dyDescent="0.2">
      <c r="A211" s="107" t="s">
        <v>378</v>
      </c>
      <c r="B211" s="107" t="s">
        <v>379</v>
      </c>
      <c r="C211" s="233">
        <v>2010</v>
      </c>
      <c r="D211" s="110" t="s">
        <v>284</v>
      </c>
      <c r="E211" s="110">
        <v>12000</v>
      </c>
      <c r="F211" s="113" t="s">
        <v>314</v>
      </c>
      <c r="G211" s="235">
        <v>18878.085029324</v>
      </c>
      <c r="H211" s="236" t="s">
        <v>86</v>
      </c>
    </row>
    <row r="212" spans="1:8" x14ac:dyDescent="0.2">
      <c r="A212" s="107" t="s">
        <v>378</v>
      </c>
      <c r="B212" s="107" t="s">
        <v>379</v>
      </c>
      <c r="C212" s="233">
        <v>2010</v>
      </c>
      <c r="D212" s="110" t="s">
        <v>284</v>
      </c>
      <c r="E212" s="110">
        <v>12200</v>
      </c>
      <c r="F212" s="113" t="s">
        <v>367</v>
      </c>
      <c r="G212" s="235">
        <v>6032.1639968999998</v>
      </c>
      <c r="H212" s="236" t="s">
        <v>86</v>
      </c>
    </row>
    <row r="213" spans="1:8" x14ac:dyDescent="0.2">
      <c r="A213" s="107" t="s">
        <v>378</v>
      </c>
      <c r="B213" s="107" t="s">
        <v>379</v>
      </c>
      <c r="C213" s="233">
        <v>2010</v>
      </c>
      <c r="D213" s="110" t="s">
        <v>284</v>
      </c>
      <c r="E213" s="110">
        <v>12700</v>
      </c>
      <c r="F213" s="113" t="s">
        <v>320</v>
      </c>
      <c r="G213" s="235">
        <v>3526.3915439999996</v>
      </c>
      <c r="H213" s="236" t="s">
        <v>86</v>
      </c>
    </row>
    <row r="214" spans="1:8" x14ac:dyDescent="0.2">
      <c r="A214" s="107" t="s">
        <v>378</v>
      </c>
      <c r="B214" s="107" t="s">
        <v>379</v>
      </c>
      <c r="C214" s="233">
        <v>2010</v>
      </c>
      <c r="D214" s="110" t="s">
        <v>284</v>
      </c>
      <c r="E214" s="110">
        <v>14290</v>
      </c>
      <c r="F214" s="113" t="s">
        <v>296</v>
      </c>
      <c r="G214" s="235">
        <v>41246.122223360006</v>
      </c>
      <c r="H214" s="236" t="s">
        <v>87</v>
      </c>
    </row>
    <row r="215" spans="1:8" x14ac:dyDescent="0.2">
      <c r="A215" s="107" t="s">
        <v>378</v>
      </c>
      <c r="B215" s="107" t="s">
        <v>379</v>
      </c>
      <c r="C215" s="233">
        <v>2010</v>
      </c>
      <c r="D215" s="110" t="s">
        <v>284</v>
      </c>
      <c r="E215" s="110">
        <v>16000</v>
      </c>
      <c r="F215" s="113" t="s">
        <v>351</v>
      </c>
      <c r="G215" s="235">
        <v>-833119.04429959995</v>
      </c>
      <c r="H215" s="236" t="s">
        <v>352</v>
      </c>
    </row>
    <row r="216" spans="1:8" x14ac:dyDescent="0.2">
      <c r="A216" s="107" t="s">
        <v>378</v>
      </c>
      <c r="B216" s="107" t="s">
        <v>379</v>
      </c>
      <c r="C216" s="233">
        <v>2010</v>
      </c>
      <c r="D216" s="110" t="s">
        <v>284</v>
      </c>
      <c r="E216" s="110">
        <v>16110</v>
      </c>
      <c r="F216" s="113" t="s">
        <v>354</v>
      </c>
      <c r="G216" s="235">
        <v>-83755.189931099987</v>
      </c>
      <c r="H216" s="236" t="s">
        <v>139</v>
      </c>
    </row>
    <row r="217" spans="1:8" x14ac:dyDescent="0.2">
      <c r="A217" s="107" t="s">
        <v>378</v>
      </c>
      <c r="B217" s="107" t="s">
        <v>379</v>
      </c>
      <c r="C217" s="233">
        <v>2010</v>
      </c>
      <c r="D217" s="110" t="s">
        <v>284</v>
      </c>
      <c r="E217" s="110">
        <v>16203</v>
      </c>
      <c r="F217" s="113" t="s">
        <v>355</v>
      </c>
      <c r="G217" s="235">
        <v>-13929.2465988</v>
      </c>
      <c r="H217" s="236" t="s">
        <v>139</v>
      </c>
    </row>
    <row r="218" spans="1:8" x14ac:dyDescent="0.2">
      <c r="A218" s="107" t="s">
        <v>378</v>
      </c>
      <c r="B218" s="107" t="s">
        <v>379</v>
      </c>
      <c r="C218" s="233">
        <v>2010</v>
      </c>
      <c r="D218" s="110" t="s">
        <v>284</v>
      </c>
      <c r="E218" s="110">
        <v>17000</v>
      </c>
      <c r="F218" s="113" t="s">
        <v>356</v>
      </c>
      <c r="G218" s="235">
        <v>-6251.4332147000005</v>
      </c>
      <c r="H218" s="236" t="s">
        <v>357</v>
      </c>
    </row>
    <row r="219" spans="1:8" x14ac:dyDescent="0.2">
      <c r="A219" s="107" t="s">
        <v>378</v>
      </c>
      <c r="B219" s="107" t="s">
        <v>379</v>
      </c>
      <c r="C219" s="233">
        <v>2010</v>
      </c>
      <c r="D219" s="110" t="s">
        <v>284</v>
      </c>
      <c r="E219" s="110">
        <v>17100</v>
      </c>
      <c r="F219" s="113" t="s">
        <v>328</v>
      </c>
      <c r="G219" s="235">
        <v>-136926.969321807</v>
      </c>
      <c r="H219" s="236" t="s">
        <v>89</v>
      </c>
    </row>
    <row r="220" spans="1:8" x14ac:dyDescent="0.2">
      <c r="A220" s="107" t="s">
        <v>378</v>
      </c>
      <c r="B220" s="107" t="s">
        <v>379</v>
      </c>
      <c r="C220" s="233">
        <v>2010</v>
      </c>
      <c r="D220" s="110" t="s">
        <v>284</v>
      </c>
      <c r="E220" s="110">
        <v>17110</v>
      </c>
      <c r="F220" s="113" t="s">
        <v>329</v>
      </c>
      <c r="G220" s="235">
        <v>-9463.5125072669998</v>
      </c>
      <c r="H220" s="236" t="s">
        <v>89</v>
      </c>
    </row>
    <row r="221" spans="1:8" x14ac:dyDescent="0.2">
      <c r="A221" s="107" t="s">
        <v>378</v>
      </c>
      <c r="B221" s="107" t="s">
        <v>379</v>
      </c>
      <c r="C221" s="233">
        <v>2010</v>
      </c>
      <c r="D221" s="110" t="s">
        <v>284</v>
      </c>
      <c r="E221" s="110">
        <v>17290</v>
      </c>
      <c r="F221" s="113" t="s">
        <v>297</v>
      </c>
      <c r="G221" s="235">
        <v>-41246.122223360006</v>
      </c>
      <c r="H221" s="236" t="s">
        <v>88</v>
      </c>
    </row>
    <row r="222" spans="1:8" x14ac:dyDescent="0.2">
      <c r="A222" s="107" t="s">
        <v>378</v>
      </c>
      <c r="B222" s="107" t="s">
        <v>379</v>
      </c>
      <c r="C222" s="233">
        <v>2010</v>
      </c>
      <c r="D222" s="110" t="s">
        <v>284</v>
      </c>
      <c r="E222" s="110">
        <v>18900</v>
      </c>
      <c r="F222" s="113" t="s">
        <v>380</v>
      </c>
      <c r="G222" s="235">
        <v>-31081.976750000002</v>
      </c>
      <c r="H222" s="236" t="s">
        <v>377</v>
      </c>
    </row>
    <row r="223" spans="1:8" x14ac:dyDescent="0.2">
      <c r="A223" s="107" t="s">
        <v>381</v>
      </c>
      <c r="B223" s="107" t="s">
        <v>382</v>
      </c>
      <c r="C223" s="233">
        <v>2010</v>
      </c>
      <c r="D223" s="110" t="s">
        <v>284</v>
      </c>
      <c r="E223" s="110">
        <v>10100</v>
      </c>
      <c r="F223" s="113" t="s">
        <v>306</v>
      </c>
      <c r="G223" s="235">
        <v>4915101.1261515161</v>
      </c>
      <c r="H223" s="236" t="s">
        <v>138</v>
      </c>
    </row>
    <row r="224" spans="1:8" x14ac:dyDescent="0.2">
      <c r="A224" s="107" t="s">
        <v>381</v>
      </c>
      <c r="B224" s="107" t="s">
        <v>382</v>
      </c>
      <c r="C224" s="233">
        <v>2010</v>
      </c>
      <c r="D224" s="110" t="s">
        <v>284</v>
      </c>
      <c r="E224" s="110">
        <v>10200</v>
      </c>
      <c r="F224" s="113" t="s">
        <v>325</v>
      </c>
      <c r="G224" s="235">
        <v>85376.018947047996</v>
      </c>
      <c r="H224" s="236" t="s">
        <v>138</v>
      </c>
    </row>
    <row r="225" spans="1:8" x14ac:dyDescent="0.2">
      <c r="A225" s="107" t="s">
        <v>381</v>
      </c>
      <c r="B225" s="107" t="s">
        <v>382</v>
      </c>
      <c r="C225" s="233">
        <v>2010</v>
      </c>
      <c r="D225" s="110" t="s">
        <v>284</v>
      </c>
      <c r="E225" s="110">
        <v>10210</v>
      </c>
      <c r="F225" s="113" t="s">
        <v>332</v>
      </c>
      <c r="G225" s="235">
        <v>492917.85716154595</v>
      </c>
      <c r="H225" s="236" t="s">
        <v>138</v>
      </c>
    </row>
    <row r="226" spans="1:8" x14ac:dyDescent="0.2">
      <c r="A226" s="107" t="s">
        <v>381</v>
      </c>
      <c r="B226" s="107" t="s">
        <v>382</v>
      </c>
      <c r="C226" s="233">
        <v>2010</v>
      </c>
      <c r="D226" s="110" t="s">
        <v>284</v>
      </c>
      <c r="E226" s="110">
        <v>10400</v>
      </c>
      <c r="F226" s="113" t="s">
        <v>333</v>
      </c>
      <c r="G226" s="235">
        <v>30969.674742367999</v>
      </c>
      <c r="H226" s="236" t="s">
        <v>138</v>
      </c>
    </row>
    <row r="227" spans="1:8" x14ac:dyDescent="0.2">
      <c r="A227" s="107" t="s">
        <v>381</v>
      </c>
      <c r="B227" s="107" t="s">
        <v>382</v>
      </c>
      <c r="C227" s="233">
        <v>2010</v>
      </c>
      <c r="D227" s="110" t="s">
        <v>284</v>
      </c>
      <c r="E227" s="110">
        <v>10910</v>
      </c>
      <c r="F227" s="113" t="s">
        <v>301</v>
      </c>
      <c r="G227" s="235">
        <v>719436.69173140102</v>
      </c>
      <c r="H227" s="236" t="s">
        <v>155</v>
      </c>
    </row>
    <row r="228" spans="1:8" x14ac:dyDescent="0.2">
      <c r="A228" s="107" t="s">
        <v>381</v>
      </c>
      <c r="B228" s="107" t="s">
        <v>382</v>
      </c>
      <c r="C228" s="233">
        <v>2010</v>
      </c>
      <c r="D228" s="110" t="s">
        <v>284</v>
      </c>
      <c r="E228" s="110">
        <v>10990</v>
      </c>
      <c r="F228" s="113" t="s">
        <v>84</v>
      </c>
      <c r="G228" s="235">
        <v>754287.95154553105</v>
      </c>
      <c r="H228" s="236" t="s">
        <v>231</v>
      </c>
    </row>
    <row r="229" spans="1:8" x14ac:dyDescent="0.2">
      <c r="A229" s="107" t="s">
        <v>381</v>
      </c>
      <c r="B229" s="107" t="s">
        <v>382</v>
      </c>
      <c r="C229" s="233">
        <v>2010</v>
      </c>
      <c r="D229" s="110" t="s">
        <v>284</v>
      </c>
      <c r="E229" s="110">
        <v>11000</v>
      </c>
      <c r="F229" s="113" t="s">
        <v>336</v>
      </c>
      <c r="G229" s="235">
        <v>8727.0618014209995</v>
      </c>
      <c r="H229" s="236" t="s">
        <v>86</v>
      </c>
    </row>
    <row r="230" spans="1:8" x14ac:dyDescent="0.2">
      <c r="A230" s="107" t="s">
        <v>381</v>
      </c>
      <c r="B230" s="107" t="s">
        <v>382</v>
      </c>
      <c r="C230" s="233">
        <v>2010</v>
      </c>
      <c r="D230" s="110" t="s">
        <v>284</v>
      </c>
      <c r="E230" s="110">
        <v>11020</v>
      </c>
      <c r="F230" s="113" t="s">
        <v>294</v>
      </c>
      <c r="G230" s="235">
        <v>9158.8413198950002</v>
      </c>
      <c r="H230" s="236" t="s">
        <v>86</v>
      </c>
    </row>
    <row r="231" spans="1:8" x14ac:dyDescent="0.2">
      <c r="A231" s="107" t="s">
        <v>381</v>
      </c>
      <c r="B231" s="107" t="s">
        <v>382</v>
      </c>
      <c r="C231" s="233">
        <v>2010</v>
      </c>
      <c r="D231" s="110" t="s">
        <v>284</v>
      </c>
      <c r="E231" s="110">
        <v>11050</v>
      </c>
      <c r="F231" s="113" t="s">
        <v>383</v>
      </c>
      <c r="G231" s="235">
        <v>104.54846725</v>
      </c>
      <c r="H231" s="236" t="s">
        <v>86</v>
      </c>
    </row>
    <row r="232" spans="1:8" x14ac:dyDescent="0.2">
      <c r="A232" s="107" t="s">
        <v>381</v>
      </c>
      <c r="B232" s="107" t="s">
        <v>382</v>
      </c>
      <c r="C232" s="233">
        <v>2010</v>
      </c>
      <c r="D232" s="110" t="s">
        <v>284</v>
      </c>
      <c r="E232" s="110">
        <v>11070</v>
      </c>
      <c r="F232" s="113" t="s">
        <v>337</v>
      </c>
      <c r="G232" s="235">
        <v>43319.425703028995</v>
      </c>
      <c r="H232" s="236" t="s">
        <v>86</v>
      </c>
    </row>
    <row r="233" spans="1:8" x14ac:dyDescent="0.2">
      <c r="A233" s="107" t="s">
        <v>381</v>
      </c>
      <c r="B233" s="107" t="s">
        <v>382</v>
      </c>
      <c r="C233" s="233">
        <v>2010</v>
      </c>
      <c r="D233" s="110" t="s">
        <v>284</v>
      </c>
      <c r="E233" s="110">
        <v>11100</v>
      </c>
      <c r="F233" s="113" t="s">
        <v>338</v>
      </c>
      <c r="G233" s="235">
        <v>333.98996835000003</v>
      </c>
      <c r="H233" s="236" t="s">
        <v>86</v>
      </c>
    </row>
    <row r="234" spans="1:8" x14ac:dyDescent="0.2">
      <c r="A234" s="107" t="s">
        <v>381</v>
      </c>
      <c r="B234" s="107" t="s">
        <v>382</v>
      </c>
      <c r="C234" s="233">
        <v>2010</v>
      </c>
      <c r="D234" s="110" t="s">
        <v>284</v>
      </c>
      <c r="E234" s="110">
        <v>11150</v>
      </c>
      <c r="F234" s="113" t="s">
        <v>327</v>
      </c>
      <c r="G234" s="235">
        <v>229592.48038924599</v>
      </c>
      <c r="H234" s="236" t="s">
        <v>86</v>
      </c>
    </row>
    <row r="235" spans="1:8" x14ac:dyDescent="0.2">
      <c r="A235" s="107" t="s">
        <v>381</v>
      </c>
      <c r="B235" s="107" t="s">
        <v>382</v>
      </c>
      <c r="C235" s="233">
        <v>2010</v>
      </c>
      <c r="D235" s="110" t="s">
        <v>284</v>
      </c>
      <c r="E235" s="110">
        <v>11151</v>
      </c>
      <c r="F235" s="113" t="s">
        <v>376</v>
      </c>
      <c r="G235" s="235">
        <v>8409.6300497760003</v>
      </c>
      <c r="H235" s="236" t="s">
        <v>86</v>
      </c>
    </row>
    <row r="236" spans="1:8" x14ac:dyDescent="0.2">
      <c r="A236" s="107" t="s">
        <v>381</v>
      </c>
      <c r="B236" s="107" t="s">
        <v>382</v>
      </c>
      <c r="C236" s="233">
        <v>2010</v>
      </c>
      <c r="D236" s="110" t="s">
        <v>284</v>
      </c>
      <c r="E236" s="110">
        <v>11200</v>
      </c>
      <c r="F236" s="113" t="s">
        <v>311</v>
      </c>
      <c r="G236" s="235">
        <v>49479.726561897995</v>
      </c>
      <c r="H236" s="236" t="s">
        <v>86</v>
      </c>
    </row>
    <row r="237" spans="1:8" x14ac:dyDescent="0.2">
      <c r="A237" s="107" t="s">
        <v>381</v>
      </c>
      <c r="B237" s="107" t="s">
        <v>382</v>
      </c>
      <c r="C237" s="233">
        <v>2010</v>
      </c>
      <c r="D237" s="110" t="s">
        <v>284</v>
      </c>
      <c r="E237" s="110">
        <v>11210</v>
      </c>
      <c r="F237" s="113" t="s">
        <v>339</v>
      </c>
      <c r="G237" s="235">
        <v>5483.1432621249996</v>
      </c>
      <c r="H237" s="236" t="s">
        <v>86</v>
      </c>
    </row>
    <row r="238" spans="1:8" x14ac:dyDescent="0.2">
      <c r="A238" s="107" t="s">
        <v>381</v>
      </c>
      <c r="B238" s="107" t="s">
        <v>382</v>
      </c>
      <c r="C238" s="233">
        <v>2010</v>
      </c>
      <c r="D238" s="110" t="s">
        <v>284</v>
      </c>
      <c r="E238" s="110">
        <v>11250</v>
      </c>
      <c r="F238" s="113" t="s">
        <v>370</v>
      </c>
      <c r="G238" s="235">
        <v>7643.5779995270004</v>
      </c>
      <c r="H238" s="236" t="s">
        <v>86</v>
      </c>
    </row>
    <row r="239" spans="1:8" x14ac:dyDescent="0.2">
      <c r="A239" s="107" t="s">
        <v>381</v>
      </c>
      <c r="B239" s="107" t="s">
        <v>382</v>
      </c>
      <c r="C239" s="233">
        <v>2010</v>
      </c>
      <c r="D239" s="110" t="s">
        <v>284</v>
      </c>
      <c r="E239" s="110">
        <v>11300</v>
      </c>
      <c r="F239" s="113" t="s">
        <v>312</v>
      </c>
      <c r="G239" s="235">
        <v>6947.1834848089993</v>
      </c>
      <c r="H239" s="236" t="s">
        <v>86</v>
      </c>
    </row>
    <row r="240" spans="1:8" x14ac:dyDescent="0.2">
      <c r="A240" s="107" t="s">
        <v>381</v>
      </c>
      <c r="B240" s="107" t="s">
        <v>382</v>
      </c>
      <c r="C240" s="233">
        <v>2010</v>
      </c>
      <c r="D240" s="110" t="s">
        <v>284</v>
      </c>
      <c r="E240" s="110">
        <v>11301</v>
      </c>
      <c r="F240" s="113" t="s">
        <v>342</v>
      </c>
      <c r="G240" s="235">
        <v>3483.7809795100002</v>
      </c>
      <c r="H240" s="236" t="s">
        <v>86</v>
      </c>
    </row>
    <row r="241" spans="1:8" x14ac:dyDescent="0.2">
      <c r="A241" s="107" t="s">
        <v>381</v>
      </c>
      <c r="B241" s="107" t="s">
        <v>382</v>
      </c>
      <c r="C241" s="233">
        <v>2010</v>
      </c>
      <c r="D241" s="110" t="s">
        <v>284</v>
      </c>
      <c r="E241" s="110">
        <v>11500</v>
      </c>
      <c r="F241" s="113" t="s">
        <v>343</v>
      </c>
      <c r="G241" s="235">
        <v>19027.142887280002</v>
      </c>
      <c r="H241" s="236" t="s">
        <v>86</v>
      </c>
    </row>
    <row r="242" spans="1:8" x14ac:dyDescent="0.2">
      <c r="A242" s="107" t="s">
        <v>381</v>
      </c>
      <c r="B242" s="107" t="s">
        <v>382</v>
      </c>
      <c r="C242" s="233">
        <v>2010</v>
      </c>
      <c r="D242" s="110" t="s">
        <v>284</v>
      </c>
      <c r="E242" s="110">
        <v>11600</v>
      </c>
      <c r="F242" s="113" t="s">
        <v>344</v>
      </c>
      <c r="G242" s="235">
        <v>0</v>
      </c>
      <c r="H242" s="236" t="s">
        <v>86</v>
      </c>
    </row>
    <row r="243" spans="1:8" x14ac:dyDescent="0.2">
      <c r="A243" s="107" t="s">
        <v>381</v>
      </c>
      <c r="B243" s="107" t="s">
        <v>382</v>
      </c>
      <c r="C243" s="233">
        <v>2010</v>
      </c>
      <c r="D243" s="110" t="s">
        <v>284</v>
      </c>
      <c r="E243" s="110">
        <v>11650</v>
      </c>
      <c r="F243" s="113" t="s">
        <v>345</v>
      </c>
      <c r="G243" s="235">
        <v>25755.430138010001</v>
      </c>
      <c r="H243" s="236" t="s">
        <v>86</v>
      </c>
    </row>
    <row r="244" spans="1:8" x14ac:dyDescent="0.2">
      <c r="A244" s="107" t="s">
        <v>381</v>
      </c>
      <c r="B244" s="107" t="s">
        <v>382</v>
      </c>
      <c r="C244" s="233">
        <v>2010</v>
      </c>
      <c r="D244" s="110" t="s">
        <v>284</v>
      </c>
      <c r="E244" s="110">
        <v>11651</v>
      </c>
      <c r="F244" s="113" t="s">
        <v>346</v>
      </c>
      <c r="G244" s="235">
        <v>5945.2700924439996</v>
      </c>
      <c r="H244" s="236" t="s">
        <v>86</v>
      </c>
    </row>
    <row r="245" spans="1:8" x14ac:dyDescent="0.2">
      <c r="A245" s="107" t="s">
        <v>381</v>
      </c>
      <c r="B245" s="107" t="s">
        <v>382</v>
      </c>
      <c r="C245" s="233">
        <v>2010</v>
      </c>
      <c r="D245" s="110" t="s">
        <v>284</v>
      </c>
      <c r="E245" s="110">
        <v>11700</v>
      </c>
      <c r="F245" s="113" t="s">
        <v>365</v>
      </c>
      <c r="G245" s="235">
        <v>0</v>
      </c>
      <c r="H245" s="236" t="s">
        <v>86</v>
      </c>
    </row>
    <row r="246" spans="1:8" x14ac:dyDescent="0.2">
      <c r="A246" s="107" t="s">
        <v>381</v>
      </c>
      <c r="B246" s="107" t="s">
        <v>382</v>
      </c>
      <c r="C246" s="233">
        <v>2010</v>
      </c>
      <c r="D246" s="110" t="s">
        <v>284</v>
      </c>
      <c r="E246" s="110">
        <v>11720</v>
      </c>
      <c r="F246" s="113" t="s">
        <v>384</v>
      </c>
      <c r="G246" s="235">
        <v>3938.2559922799996</v>
      </c>
      <c r="H246" s="236" t="s">
        <v>86</v>
      </c>
    </row>
    <row r="247" spans="1:8" x14ac:dyDescent="0.2">
      <c r="A247" s="107" t="s">
        <v>381</v>
      </c>
      <c r="B247" s="107" t="s">
        <v>382</v>
      </c>
      <c r="C247" s="233">
        <v>2010</v>
      </c>
      <c r="D247" s="110" t="s">
        <v>284</v>
      </c>
      <c r="E247" s="110">
        <v>11960</v>
      </c>
      <c r="F247" s="113" t="s">
        <v>348</v>
      </c>
      <c r="G247" s="235">
        <v>13077.035309000001</v>
      </c>
      <c r="H247" s="236" t="s">
        <v>86</v>
      </c>
    </row>
    <row r="248" spans="1:8" x14ac:dyDescent="0.2">
      <c r="A248" s="107" t="s">
        <v>381</v>
      </c>
      <c r="B248" s="107" t="s">
        <v>382</v>
      </c>
      <c r="C248" s="233">
        <v>2010</v>
      </c>
      <c r="D248" s="110" t="s">
        <v>284</v>
      </c>
      <c r="E248" s="110">
        <v>11980</v>
      </c>
      <c r="F248" s="113" t="s">
        <v>317</v>
      </c>
      <c r="G248" s="235">
        <v>6984.9678660000009</v>
      </c>
      <c r="H248" s="236" t="s">
        <v>86</v>
      </c>
    </row>
    <row r="249" spans="1:8" x14ac:dyDescent="0.2">
      <c r="A249" s="107" t="s">
        <v>381</v>
      </c>
      <c r="B249" s="107" t="s">
        <v>382</v>
      </c>
      <c r="C249" s="233">
        <v>2010</v>
      </c>
      <c r="D249" s="110" t="s">
        <v>284</v>
      </c>
      <c r="E249" s="110">
        <v>11990</v>
      </c>
      <c r="F249" s="113" t="s">
        <v>349</v>
      </c>
      <c r="G249" s="235">
        <v>56.512684999999998</v>
      </c>
      <c r="H249" s="236" t="s">
        <v>86</v>
      </c>
    </row>
    <row r="250" spans="1:8" x14ac:dyDescent="0.2">
      <c r="A250" s="107" t="s">
        <v>381</v>
      </c>
      <c r="B250" s="107" t="s">
        <v>382</v>
      </c>
      <c r="C250" s="233">
        <v>2010</v>
      </c>
      <c r="D250" s="110" t="s">
        <v>284</v>
      </c>
      <c r="E250" s="110">
        <v>12000</v>
      </c>
      <c r="F250" s="113" t="s">
        <v>314</v>
      </c>
      <c r="G250" s="235">
        <v>10119.624780116999</v>
      </c>
      <c r="H250" s="236" t="s">
        <v>86</v>
      </c>
    </row>
    <row r="251" spans="1:8" x14ac:dyDescent="0.2">
      <c r="A251" s="107" t="s">
        <v>381</v>
      </c>
      <c r="B251" s="107" t="s">
        <v>382</v>
      </c>
      <c r="C251" s="233">
        <v>2010</v>
      </c>
      <c r="D251" s="110" t="s">
        <v>284</v>
      </c>
      <c r="E251" s="110">
        <v>12400</v>
      </c>
      <c r="F251" s="113" t="s">
        <v>350</v>
      </c>
      <c r="G251" s="235">
        <v>10170.926995559999</v>
      </c>
      <c r="H251" s="236" t="s">
        <v>86</v>
      </c>
    </row>
    <row r="252" spans="1:8" x14ac:dyDescent="0.2">
      <c r="A252" s="107" t="s">
        <v>381</v>
      </c>
      <c r="B252" s="107" t="s">
        <v>382</v>
      </c>
      <c r="C252" s="233">
        <v>2010</v>
      </c>
      <c r="D252" s="110" t="s">
        <v>284</v>
      </c>
      <c r="E252" s="110">
        <v>12700</v>
      </c>
      <c r="F252" s="113" t="s">
        <v>320</v>
      </c>
      <c r="G252" s="235">
        <v>420539.37147824006</v>
      </c>
      <c r="H252" s="236" t="s">
        <v>86</v>
      </c>
    </row>
    <row r="253" spans="1:8" x14ac:dyDescent="0.2">
      <c r="A253" s="107" t="s">
        <v>381</v>
      </c>
      <c r="B253" s="107" t="s">
        <v>382</v>
      </c>
      <c r="C253" s="233">
        <v>2010</v>
      </c>
      <c r="D253" s="110" t="s">
        <v>284</v>
      </c>
      <c r="E253" s="110">
        <v>14290</v>
      </c>
      <c r="F253" s="113" t="s">
        <v>296</v>
      </c>
      <c r="G253" s="235">
        <v>69040.982137650004</v>
      </c>
      <c r="H253" s="236" t="s">
        <v>87</v>
      </c>
    </row>
    <row r="254" spans="1:8" x14ac:dyDescent="0.2">
      <c r="A254" s="107" t="s">
        <v>381</v>
      </c>
      <c r="B254" s="107" t="s">
        <v>382</v>
      </c>
      <c r="C254" s="233">
        <v>2010</v>
      </c>
      <c r="D254" s="110" t="s">
        <v>284</v>
      </c>
      <c r="E254" s="110">
        <v>16000</v>
      </c>
      <c r="F254" s="113" t="s">
        <v>351</v>
      </c>
      <c r="G254" s="235">
        <v>-1258107.9985440001</v>
      </c>
      <c r="H254" s="236" t="s">
        <v>352</v>
      </c>
    </row>
    <row r="255" spans="1:8" x14ac:dyDescent="0.2">
      <c r="A255" s="107" t="s">
        <v>381</v>
      </c>
      <c r="B255" s="107" t="s">
        <v>382</v>
      </c>
      <c r="C255" s="233">
        <v>2010</v>
      </c>
      <c r="D255" s="110" t="s">
        <v>284</v>
      </c>
      <c r="E255" s="110">
        <v>16110</v>
      </c>
      <c r="F255" s="113" t="s">
        <v>354</v>
      </c>
      <c r="G255" s="235">
        <v>-122771.5476551</v>
      </c>
      <c r="H255" s="236" t="s">
        <v>139</v>
      </c>
    </row>
    <row r="256" spans="1:8" x14ac:dyDescent="0.2">
      <c r="A256" s="107" t="s">
        <v>381</v>
      </c>
      <c r="B256" s="107" t="s">
        <v>382</v>
      </c>
      <c r="C256" s="233">
        <v>2010</v>
      </c>
      <c r="D256" s="110" t="s">
        <v>284</v>
      </c>
      <c r="E256" s="110">
        <v>16203</v>
      </c>
      <c r="F256" s="113" t="s">
        <v>355</v>
      </c>
      <c r="G256" s="235">
        <v>-21659.130770858996</v>
      </c>
      <c r="H256" s="236" t="s">
        <v>139</v>
      </c>
    </row>
    <row r="257" spans="1:8" x14ac:dyDescent="0.2">
      <c r="A257" s="107" t="s">
        <v>381</v>
      </c>
      <c r="B257" s="107" t="s">
        <v>382</v>
      </c>
      <c r="C257" s="233">
        <v>2010</v>
      </c>
      <c r="D257" s="110" t="s">
        <v>284</v>
      </c>
      <c r="E257" s="110">
        <v>17100</v>
      </c>
      <c r="F257" s="113" t="s">
        <v>328</v>
      </c>
      <c r="G257" s="235">
        <v>-787279.3449887</v>
      </c>
      <c r="H257" s="236" t="s">
        <v>89</v>
      </c>
    </row>
    <row r="258" spans="1:8" x14ac:dyDescent="0.2">
      <c r="A258" s="107" t="s">
        <v>381</v>
      </c>
      <c r="B258" s="107" t="s">
        <v>382</v>
      </c>
      <c r="C258" s="233">
        <v>2010</v>
      </c>
      <c r="D258" s="110" t="s">
        <v>284</v>
      </c>
      <c r="E258" s="110">
        <v>17110</v>
      </c>
      <c r="F258" s="113" t="s">
        <v>329</v>
      </c>
      <c r="G258" s="235">
        <v>-39982.193418260998</v>
      </c>
      <c r="H258" s="236" t="s">
        <v>89</v>
      </c>
    </row>
    <row r="259" spans="1:8" x14ac:dyDescent="0.2">
      <c r="A259" s="107" t="s">
        <v>381</v>
      </c>
      <c r="B259" s="107" t="s">
        <v>382</v>
      </c>
      <c r="C259" s="233">
        <v>2010</v>
      </c>
      <c r="D259" s="110" t="s">
        <v>284</v>
      </c>
      <c r="E259" s="110">
        <v>17290</v>
      </c>
      <c r="F259" s="113" t="s">
        <v>297</v>
      </c>
      <c r="G259" s="235">
        <v>-69019.258661536005</v>
      </c>
      <c r="H259" s="236" t="s">
        <v>88</v>
      </c>
    </row>
    <row r="260" spans="1:8" x14ac:dyDescent="0.2">
      <c r="A260" s="107" t="s">
        <v>385</v>
      </c>
      <c r="B260" s="107" t="s">
        <v>386</v>
      </c>
      <c r="C260" s="233">
        <v>2010</v>
      </c>
      <c r="D260" s="110" t="s">
        <v>284</v>
      </c>
      <c r="E260" s="110">
        <v>10100</v>
      </c>
      <c r="F260" s="113" t="s">
        <v>306</v>
      </c>
      <c r="G260" s="235">
        <v>6094298.914182446</v>
      </c>
      <c r="H260" s="236" t="s">
        <v>138</v>
      </c>
    </row>
    <row r="261" spans="1:8" x14ac:dyDescent="0.2">
      <c r="A261" s="107" t="s">
        <v>385</v>
      </c>
      <c r="B261" s="107" t="s">
        <v>386</v>
      </c>
      <c r="C261" s="233">
        <v>2010</v>
      </c>
      <c r="D261" s="110" t="s">
        <v>284</v>
      </c>
      <c r="E261" s="110">
        <v>10200</v>
      </c>
      <c r="F261" s="113" t="s">
        <v>325</v>
      </c>
      <c r="G261" s="235">
        <v>24230.898737301999</v>
      </c>
      <c r="H261" s="236" t="s">
        <v>138</v>
      </c>
    </row>
    <row r="262" spans="1:8" x14ac:dyDescent="0.2">
      <c r="A262" s="107" t="s">
        <v>385</v>
      </c>
      <c r="B262" s="107" t="s">
        <v>386</v>
      </c>
      <c r="C262" s="233">
        <v>2010</v>
      </c>
      <c r="D262" s="110" t="s">
        <v>284</v>
      </c>
      <c r="E262" s="110">
        <v>10210</v>
      </c>
      <c r="F262" s="113" t="s">
        <v>332</v>
      </c>
      <c r="G262" s="235">
        <v>601569.48441865598</v>
      </c>
      <c r="H262" s="236" t="s">
        <v>138</v>
      </c>
    </row>
    <row r="263" spans="1:8" x14ac:dyDescent="0.2">
      <c r="A263" s="107" t="s">
        <v>385</v>
      </c>
      <c r="B263" s="107" t="s">
        <v>386</v>
      </c>
      <c r="C263" s="233">
        <v>2010</v>
      </c>
      <c r="D263" s="110" t="s">
        <v>284</v>
      </c>
      <c r="E263" s="110">
        <v>10400</v>
      </c>
      <c r="F263" s="113" t="s">
        <v>333</v>
      </c>
      <c r="G263" s="235">
        <v>35989.086213919996</v>
      </c>
      <c r="H263" s="236" t="s">
        <v>138</v>
      </c>
    </row>
    <row r="264" spans="1:8" x14ac:dyDescent="0.2">
      <c r="A264" s="107" t="s">
        <v>385</v>
      </c>
      <c r="B264" s="107" t="s">
        <v>386</v>
      </c>
      <c r="C264" s="233">
        <v>2010</v>
      </c>
      <c r="D264" s="110" t="s">
        <v>284</v>
      </c>
      <c r="E264" s="110">
        <v>10910</v>
      </c>
      <c r="F264" s="113" t="s">
        <v>301</v>
      </c>
      <c r="G264" s="235">
        <v>873643.14915686299</v>
      </c>
      <c r="H264" s="236" t="s">
        <v>155</v>
      </c>
    </row>
    <row r="265" spans="1:8" x14ac:dyDescent="0.2">
      <c r="A265" s="107" t="s">
        <v>385</v>
      </c>
      <c r="B265" s="107" t="s">
        <v>386</v>
      </c>
      <c r="C265" s="233">
        <v>2010</v>
      </c>
      <c r="D265" s="110" t="s">
        <v>284</v>
      </c>
      <c r="E265" s="110">
        <v>10990</v>
      </c>
      <c r="F265" s="113" t="s">
        <v>84</v>
      </c>
      <c r="G265" s="235">
        <v>954471.64885464602</v>
      </c>
      <c r="H265" s="236" t="s">
        <v>231</v>
      </c>
    </row>
    <row r="266" spans="1:8" x14ac:dyDescent="0.2">
      <c r="A266" s="107" t="s">
        <v>385</v>
      </c>
      <c r="B266" s="107" t="s">
        <v>386</v>
      </c>
      <c r="C266" s="233">
        <v>2010</v>
      </c>
      <c r="D266" s="110" t="s">
        <v>284</v>
      </c>
      <c r="E266" s="110">
        <v>11000</v>
      </c>
      <c r="F266" s="113" t="s">
        <v>336</v>
      </c>
      <c r="G266" s="235">
        <v>12581.599902141999</v>
      </c>
      <c r="H266" s="236" t="s">
        <v>86</v>
      </c>
    </row>
    <row r="267" spans="1:8" x14ac:dyDescent="0.2">
      <c r="A267" s="107" t="s">
        <v>385</v>
      </c>
      <c r="B267" s="107" t="s">
        <v>386</v>
      </c>
      <c r="C267" s="233">
        <v>2010</v>
      </c>
      <c r="D267" s="110" t="s">
        <v>284</v>
      </c>
      <c r="E267" s="110">
        <v>11010</v>
      </c>
      <c r="F267" s="113" t="s">
        <v>310</v>
      </c>
      <c r="G267" s="235">
        <v>8101.6585216000003</v>
      </c>
      <c r="H267" s="236" t="s">
        <v>86</v>
      </c>
    </row>
    <row r="268" spans="1:8" x14ac:dyDescent="0.2">
      <c r="A268" s="107" t="s">
        <v>385</v>
      </c>
      <c r="B268" s="107" t="s">
        <v>386</v>
      </c>
      <c r="C268" s="233">
        <v>2010</v>
      </c>
      <c r="D268" s="110" t="s">
        <v>284</v>
      </c>
      <c r="E268" s="110">
        <v>11020</v>
      </c>
      <c r="F268" s="113" t="s">
        <v>294</v>
      </c>
      <c r="G268" s="235">
        <v>19125.701009919994</v>
      </c>
      <c r="H268" s="236" t="s">
        <v>86</v>
      </c>
    </row>
    <row r="269" spans="1:8" x14ac:dyDescent="0.2">
      <c r="A269" s="107" t="s">
        <v>385</v>
      </c>
      <c r="B269" s="107" t="s">
        <v>386</v>
      </c>
      <c r="C269" s="233">
        <v>2010</v>
      </c>
      <c r="D269" s="110" t="s">
        <v>284</v>
      </c>
      <c r="E269" s="110">
        <v>11063</v>
      </c>
      <c r="F269" s="113" t="s">
        <v>387</v>
      </c>
      <c r="G269" s="235">
        <v>4747.0655400000005</v>
      </c>
      <c r="H269" s="236" t="s">
        <v>86</v>
      </c>
    </row>
    <row r="270" spans="1:8" x14ac:dyDescent="0.2">
      <c r="A270" s="107" t="s">
        <v>385</v>
      </c>
      <c r="B270" s="107" t="s">
        <v>386</v>
      </c>
      <c r="C270" s="233">
        <v>2010</v>
      </c>
      <c r="D270" s="110" t="s">
        <v>284</v>
      </c>
      <c r="E270" s="110">
        <v>11070</v>
      </c>
      <c r="F270" s="113" t="s">
        <v>337</v>
      </c>
      <c r="G270" s="235">
        <v>38642.526312725</v>
      </c>
      <c r="H270" s="236" t="s">
        <v>86</v>
      </c>
    </row>
    <row r="271" spans="1:8" x14ac:dyDescent="0.2">
      <c r="A271" s="107" t="s">
        <v>385</v>
      </c>
      <c r="B271" s="107" t="s">
        <v>386</v>
      </c>
      <c r="C271" s="233">
        <v>2010</v>
      </c>
      <c r="D271" s="110" t="s">
        <v>284</v>
      </c>
      <c r="E271" s="110">
        <v>11100</v>
      </c>
      <c r="F271" s="113" t="s">
        <v>338</v>
      </c>
      <c r="G271" s="235">
        <v>1624.5814582319997</v>
      </c>
      <c r="H271" s="236" t="s">
        <v>86</v>
      </c>
    </row>
    <row r="272" spans="1:8" x14ac:dyDescent="0.2">
      <c r="A272" s="107" t="s">
        <v>385</v>
      </c>
      <c r="B272" s="107" t="s">
        <v>386</v>
      </c>
      <c r="C272" s="233">
        <v>2010</v>
      </c>
      <c r="D272" s="110" t="s">
        <v>284</v>
      </c>
      <c r="E272" s="110">
        <v>11150</v>
      </c>
      <c r="F272" s="113" t="s">
        <v>327</v>
      </c>
      <c r="G272" s="235">
        <v>313952.005671199</v>
      </c>
      <c r="H272" s="236" t="s">
        <v>86</v>
      </c>
    </row>
    <row r="273" spans="1:8" x14ac:dyDescent="0.2">
      <c r="A273" s="107" t="s">
        <v>385</v>
      </c>
      <c r="B273" s="107" t="s">
        <v>386</v>
      </c>
      <c r="C273" s="233">
        <v>2010</v>
      </c>
      <c r="D273" s="110" t="s">
        <v>284</v>
      </c>
      <c r="E273" s="110">
        <v>11151</v>
      </c>
      <c r="F273" s="113" t="s">
        <v>376</v>
      </c>
      <c r="G273" s="235">
        <v>214.74820300000002</v>
      </c>
      <c r="H273" s="236" t="s">
        <v>86</v>
      </c>
    </row>
    <row r="274" spans="1:8" x14ac:dyDescent="0.2">
      <c r="A274" s="107" t="s">
        <v>385</v>
      </c>
      <c r="B274" s="107" t="s">
        <v>386</v>
      </c>
      <c r="C274" s="233">
        <v>2010</v>
      </c>
      <c r="D274" s="110" t="s">
        <v>284</v>
      </c>
      <c r="E274" s="110">
        <v>11200</v>
      </c>
      <c r="F274" s="113" t="s">
        <v>311</v>
      </c>
      <c r="G274" s="235">
        <v>16692.762105448004</v>
      </c>
      <c r="H274" s="236" t="s">
        <v>86</v>
      </c>
    </row>
    <row r="275" spans="1:8" x14ac:dyDescent="0.2">
      <c r="A275" s="107" t="s">
        <v>385</v>
      </c>
      <c r="B275" s="107" t="s">
        <v>386</v>
      </c>
      <c r="C275" s="233">
        <v>2010</v>
      </c>
      <c r="D275" s="110" t="s">
        <v>284</v>
      </c>
      <c r="E275" s="110">
        <v>11210</v>
      </c>
      <c r="F275" s="113" t="s">
        <v>339</v>
      </c>
      <c r="G275" s="235">
        <v>0</v>
      </c>
      <c r="H275" s="236" t="s">
        <v>86</v>
      </c>
    </row>
    <row r="276" spans="1:8" x14ac:dyDescent="0.2">
      <c r="A276" s="107" t="s">
        <v>385</v>
      </c>
      <c r="B276" s="107" t="s">
        <v>386</v>
      </c>
      <c r="C276" s="233">
        <v>2010</v>
      </c>
      <c r="D276" s="110" t="s">
        <v>284</v>
      </c>
      <c r="E276" s="110">
        <v>11250</v>
      </c>
      <c r="F276" s="113" t="s">
        <v>370</v>
      </c>
      <c r="G276" s="235">
        <v>16379.919183824999</v>
      </c>
      <c r="H276" s="236" t="s">
        <v>86</v>
      </c>
    </row>
    <row r="277" spans="1:8" x14ac:dyDescent="0.2">
      <c r="A277" s="107" t="s">
        <v>385</v>
      </c>
      <c r="B277" s="107" t="s">
        <v>386</v>
      </c>
      <c r="C277" s="233">
        <v>2010</v>
      </c>
      <c r="D277" s="110" t="s">
        <v>284</v>
      </c>
      <c r="E277" s="110">
        <v>11300</v>
      </c>
      <c r="F277" s="113" t="s">
        <v>312</v>
      </c>
      <c r="G277" s="235">
        <v>9599.1994639519999</v>
      </c>
      <c r="H277" s="236" t="s">
        <v>86</v>
      </c>
    </row>
    <row r="278" spans="1:8" x14ac:dyDescent="0.2">
      <c r="A278" s="107" t="s">
        <v>385</v>
      </c>
      <c r="B278" s="107" t="s">
        <v>386</v>
      </c>
      <c r="C278" s="233">
        <v>2010</v>
      </c>
      <c r="D278" s="110" t="s">
        <v>284</v>
      </c>
      <c r="E278" s="110">
        <v>11301</v>
      </c>
      <c r="F278" s="113" t="s">
        <v>342</v>
      </c>
      <c r="G278" s="235">
        <v>-4520.9808923890005</v>
      </c>
      <c r="H278" s="236" t="s">
        <v>86</v>
      </c>
    </row>
    <row r="279" spans="1:8" x14ac:dyDescent="0.2">
      <c r="A279" s="107" t="s">
        <v>385</v>
      </c>
      <c r="B279" s="107" t="s">
        <v>386</v>
      </c>
      <c r="C279" s="233">
        <v>2010</v>
      </c>
      <c r="D279" s="110" t="s">
        <v>284</v>
      </c>
      <c r="E279" s="110">
        <v>11310</v>
      </c>
      <c r="F279" s="113" t="s">
        <v>313</v>
      </c>
      <c r="G279" s="235">
        <v>210.67928967999998</v>
      </c>
      <c r="H279" s="236" t="s">
        <v>86</v>
      </c>
    </row>
    <row r="280" spans="1:8" x14ac:dyDescent="0.2">
      <c r="A280" s="107" t="s">
        <v>385</v>
      </c>
      <c r="B280" s="107" t="s">
        <v>386</v>
      </c>
      <c r="C280" s="233">
        <v>2010</v>
      </c>
      <c r="D280" s="110" t="s">
        <v>284</v>
      </c>
      <c r="E280" s="110">
        <v>11500</v>
      </c>
      <c r="F280" s="113" t="s">
        <v>343</v>
      </c>
      <c r="G280" s="235">
        <v>2712.6088799999998</v>
      </c>
      <c r="H280" s="236" t="s">
        <v>86</v>
      </c>
    </row>
    <row r="281" spans="1:8" x14ac:dyDescent="0.2">
      <c r="A281" s="107" t="s">
        <v>385</v>
      </c>
      <c r="B281" s="107" t="s">
        <v>386</v>
      </c>
      <c r="C281" s="233">
        <v>2010</v>
      </c>
      <c r="D281" s="110" t="s">
        <v>284</v>
      </c>
      <c r="E281" s="110">
        <v>11600</v>
      </c>
      <c r="F281" s="113" t="s">
        <v>344</v>
      </c>
      <c r="G281" s="235">
        <v>922.45655725500001</v>
      </c>
      <c r="H281" s="236" t="s">
        <v>86</v>
      </c>
    </row>
    <row r="282" spans="1:8" x14ac:dyDescent="0.2">
      <c r="A282" s="107" t="s">
        <v>385</v>
      </c>
      <c r="B282" s="107" t="s">
        <v>386</v>
      </c>
      <c r="C282" s="233">
        <v>2010</v>
      </c>
      <c r="D282" s="110" t="s">
        <v>284</v>
      </c>
      <c r="E282" s="110">
        <v>11650</v>
      </c>
      <c r="F282" s="113" t="s">
        <v>345</v>
      </c>
      <c r="G282" s="235">
        <v>29691.109151853994</v>
      </c>
      <c r="H282" s="236" t="s">
        <v>86</v>
      </c>
    </row>
    <row r="283" spans="1:8" x14ac:dyDescent="0.2">
      <c r="A283" s="107" t="s">
        <v>385</v>
      </c>
      <c r="B283" s="107" t="s">
        <v>386</v>
      </c>
      <c r="C283" s="233">
        <v>2010</v>
      </c>
      <c r="D283" s="110" t="s">
        <v>284</v>
      </c>
      <c r="E283" s="110">
        <v>11651</v>
      </c>
      <c r="F283" s="113" t="s">
        <v>346</v>
      </c>
      <c r="G283" s="235">
        <v>5158.4439791890009</v>
      </c>
      <c r="H283" s="236" t="s">
        <v>86</v>
      </c>
    </row>
    <row r="284" spans="1:8" x14ac:dyDescent="0.2">
      <c r="A284" s="107" t="s">
        <v>385</v>
      </c>
      <c r="B284" s="107" t="s">
        <v>386</v>
      </c>
      <c r="C284" s="233">
        <v>2010</v>
      </c>
      <c r="D284" s="110" t="s">
        <v>284</v>
      </c>
      <c r="E284" s="110">
        <v>11700</v>
      </c>
      <c r="F284" s="113" t="s">
        <v>365</v>
      </c>
      <c r="G284" s="235">
        <v>8144.6081622000011</v>
      </c>
      <c r="H284" s="236" t="s">
        <v>86</v>
      </c>
    </row>
    <row r="285" spans="1:8" x14ac:dyDescent="0.2">
      <c r="A285" s="107" t="s">
        <v>385</v>
      </c>
      <c r="B285" s="107" t="s">
        <v>386</v>
      </c>
      <c r="C285" s="233">
        <v>2010</v>
      </c>
      <c r="D285" s="110" t="s">
        <v>284</v>
      </c>
      <c r="E285" s="110">
        <v>11980</v>
      </c>
      <c r="F285" s="113" t="s">
        <v>317</v>
      </c>
      <c r="G285" s="235">
        <v>2592.8019878000005</v>
      </c>
      <c r="H285" s="236" t="s">
        <v>86</v>
      </c>
    </row>
    <row r="286" spans="1:8" x14ac:dyDescent="0.2">
      <c r="A286" s="107" t="s">
        <v>385</v>
      </c>
      <c r="B286" s="107" t="s">
        <v>386</v>
      </c>
      <c r="C286" s="233">
        <v>2010</v>
      </c>
      <c r="D286" s="110" t="s">
        <v>284</v>
      </c>
      <c r="E286" s="110">
        <v>11990</v>
      </c>
      <c r="F286" s="113" t="s">
        <v>349</v>
      </c>
      <c r="G286" s="235">
        <v>623.90004239999996</v>
      </c>
      <c r="H286" s="236" t="s">
        <v>86</v>
      </c>
    </row>
    <row r="287" spans="1:8" x14ac:dyDescent="0.2">
      <c r="A287" s="107" t="s">
        <v>385</v>
      </c>
      <c r="B287" s="107" t="s">
        <v>386</v>
      </c>
      <c r="C287" s="233">
        <v>2010</v>
      </c>
      <c r="D287" s="110" t="s">
        <v>284</v>
      </c>
      <c r="E287" s="110">
        <v>12000</v>
      </c>
      <c r="F287" s="113" t="s">
        <v>314</v>
      </c>
      <c r="G287" s="235">
        <v>83077.354182136012</v>
      </c>
      <c r="H287" s="236" t="s">
        <v>86</v>
      </c>
    </row>
    <row r="288" spans="1:8" x14ac:dyDescent="0.2">
      <c r="A288" s="107" t="s">
        <v>385</v>
      </c>
      <c r="B288" s="107" t="s">
        <v>386</v>
      </c>
      <c r="C288" s="233">
        <v>2010</v>
      </c>
      <c r="D288" s="110" t="s">
        <v>284</v>
      </c>
      <c r="E288" s="110">
        <v>12400</v>
      </c>
      <c r="F288" s="113" t="s">
        <v>350</v>
      </c>
      <c r="G288" s="235">
        <v>3232.5255819999998</v>
      </c>
      <c r="H288" s="236" t="s">
        <v>86</v>
      </c>
    </row>
    <row r="289" spans="1:12" x14ac:dyDescent="0.2">
      <c r="A289" s="107" t="s">
        <v>385</v>
      </c>
      <c r="B289" s="107" t="s">
        <v>386</v>
      </c>
      <c r="C289" s="233">
        <v>2010</v>
      </c>
      <c r="D289" s="110" t="s">
        <v>284</v>
      </c>
      <c r="E289" s="110">
        <v>12700</v>
      </c>
      <c r="F289" s="113" t="s">
        <v>320</v>
      </c>
      <c r="G289" s="235">
        <v>76364.008885320014</v>
      </c>
      <c r="H289" s="236" t="s">
        <v>86</v>
      </c>
    </row>
    <row r="290" spans="1:12" x14ac:dyDescent="0.2">
      <c r="A290" s="107" t="s">
        <v>385</v>
      </c>
      <c r="B290" s="107" t="s">
        <v>386</v>
      </c>
      <c r="C290" s="233">
        <v>2010</v>
      </c>
      <c r="D290" s="110" t="s">
        <v>284</v>
      </c>
      <c r="E290" s="110">
        <v>14290</v>
      </c>
      <c r="F290" s="113" t="s">
        <v>296</v>
      </c>
      <c r="G290" s="235">
        <v>92940.196624150005</v>
      </c>
      <c r="H290" s="236" t="s">
        <v>87</v>
      </c>
    </row>
    <row r="291" spans="1:12" x14ac:dyDescent="0.2">
      <c r="A291" s="107" t="s">
        <v>385</v>
      </c>
      <c r="B291" s="107" t="s">
        <v>386</v>
      </c>
      <c r="C291" s="233">
        <v>2010</v>
      </c>
      <c r="D291" s="110" t="s">
        <v>284</v>
      </c>
      <c r="E291" s="110">
        <v>16000</v>
      </c>
      <c r="F291" s="113" t="s">
        <v>351</v>
      </c>
      <c r="G291" s="235">
        <v>-1571223.3113087001</v>
      </c>
      <c r="H291" s="236" t="s">
        <v>352</v>
      </c>
    </row>
    <row r="292" spans="1:12" x14ac:dyDescent="0.2">
      <c r="A292" s="107" t="s">
        <v>385</v>
      </c>
      <c r="B292" s="107" t="s">
        <v>386</v>
      </c>
      <c r="C292" s="233">
        <v>2010</v>
      </c>
      <c r="D292" s="110" t="s">
        <v>284</v>
      </c>
      <c r="E292" s="110">
        <v>16110</v>
      </c>
      <c r="F292" s="113" t="s">
        <v>354</v>
      </c>
      <c r="G292" s="235">
        <v>-152106.15218489998</v>
      </c>
      <c r="H292" s="236" t="s">
        <v>139</v>
      </c>
    </row>
    <row r="293" spans="1:12" x14ac:dyDescent="0.2">
      <c r="A293" s="107" t="s">
        <v>385</v>
      </c>
      <c r="B293" s="107" t="s">
        <v>386</v>
      </c>
      <c r="C293" s="233">
        <v>2010</v>
      </c>
      <c r="D293" s="110" t="s">
        <v>284</v>
      </c>
      <c r="E293" s="110">
        <v>16203</v>
      </c>
      <c r="F293" s="113" t="s">
        <v>355</v>
      </c>
      <c r="G293" s="235">
        <v>-28914.918725916003</v>
      </c>
      <c r="H293" s="236" t="s">
        <v>139</v>
      </c>
    </row>
    <row r="294" spans="1:12" x14ac:dyDescent="0.2">
      <c r="A294" s="107" t="s">
        <v>385</v>
      </c>
      <c r="B294" s="107" t="s">
        <v>386</v>
      </c>
      <c r="C294" s="233">
        <v>2010</v>
      </c>
      <c r="D294" s="110" t="s">
        <v>284</v>
      </c>
      <c r="E294" s="110">
        <v>17100</v>
      </c>
      <c r="F294" s="113" t="s">
        <v>328</v>
      </c>
      <c r="G294" s="235">
        <v>-867695.7654899999</v>
      </c>
      <c r="H294" s="236" t="s">
        <v>89</v>
      </c>
    </row>
    <row r="295" spans="1:12" x14ac:dyDescent="0.2">
      <c r="A295" s="107" t="s">
        <v>385</v>
      </c>
      <c r="B295" s="107" t="s">
        <v>386</v>
      </c>
      <c r="C295" s="233">
        <v>2010</v>
      </c>
      <c r="D295" s="110" t="s">
        <v>284</v>
      </c>
      <c r="E295" s="110">
        <v>17110</v>
      </c>
      <c r="F295" s="113" t="s">
        <v>329</v>
      </c>
      <c r="G295" s="235">
        <v>-46884.641461623993</v>
      </c>
      <c r="H295" s="236" t="s">
        <v>89</v>
      </c>
    </row>
    <row r="296" spans="1:12" x14ac:dyDescent="0.2">
      <c r="A296" s="107" t="s">
        <v>385</v>
      </c>
      <c r="B296" s="107" t="s">
        <v>386</v>
      </c>
      <c r="C296" s="233">
        <v>2010</v>
      </c>
      <c r="D296" s="110" t="s">
        <v>284</v>
      </c>
      <c r="E296" s="110">
        <v>17290</v>
      </c>
      <c r="F296" s="113" t="s">
        <v>297</v>
      </c>
      <c r="G296" s="235">
        <v>-92940.196624150005</v>
      </c>
      <c r="H296" s="236" t="s">
        <v>88</v>
      </c>
    </row>
    <row r="297" spans="1:12" x14ac:dyDescent="0.2">
      <c r="A297" s="107" t="s">
        <v>388</v>
      </c>
      <c r="B297" s="107" t="s">
        <v>389</v>
      </c>
      <c r="C297" s="233">
        <v>2010</v>
      </c>
      <c r="D297" s="110" t="s">
        <v>284</v>
      </c>
      <c r="E297" s="110">
        <v>10100</v>
      </c>
      <c r="F297" s="113" t="s">
        <v>306</v>
      </c>
      <c r="G297" s="235">
        <v>1085932.6886781792</v>
      </c>
      <c r="H297" s="236" t="s">
        <v>138</v>
      </c>
    </row>
    <row r="298" spans="1:12" x14ac:dyDescent="0.2">
      <c r="A298" s="107" t="s">
        <v>388</v>
      </c>
      <c r="B298" s="107" t="s">
        <v>389</v>
      </c>
      <c r="C298" s="233">
        <v>2010</v>
      </c>
      <c r="D298" s="110" t="s">
        <v>284</v>
      </c>
      <c r="E298" s="110">
        <v>10200</v>
      </c>
      <c r="F298" s="113" t="s">
        <v>325</v>
      </c>
      <c r="G298" s="235">
        <v>0</v>
      </c>
      <c r="H298" s="236" t="s">
        <v>138</v>
      </c>
      <c r="I298" s="26"/>
      <c r="J298" s="26"/>
    </row>
    <row r="299" spans="1:12" x14ac:dyDescent="0.2">
      <c r="A299" s="107" t="s">
        <v>388</v>
      </c>
      <c r="B299" s="107" t="s">
        <v>389</v>
      </c>
      <c r="C299" s="233">
        <v>2010</v>
      </c>
      <c r="D299" s="110" t="s">
        <v>284</v>
      </c>
      <c r="E299" s="110">
        <v>10210</v>
      </c>
      <c r="F299" s="113" t="s">
        <v>332</v>
      </c>
      <c r="G299" s="235">
        <v>150242.657699562</v>
      </c>
      <c r="H299" s="236" t="s">
        <v>138</v>
      </c>
    </row>
    <row r="300" spans="1:12" x14ac:dyDescent="0.2">
      <c r="A300" s="107" t="s">
        <v>388</v>
      </c>
      <c r="B300" s="107" t="s">
        <v>389</v>
      </c>
      <c r="C300" s="233">
        <v>2010</v>
      </c>
      <c r="D300" s="110" t="s">
        <v>284</v>
      </c>
      <c r="E300" s="110">
        <v>10300</v>
      </c>
      <c r="F300" s="113" t="s">
        <v>390</v>
      </c>
      <c r="G300" s="235">
        <v>6257.231416181</v>
      </c>
      <c r="H300" s="236" t="s">
        <v>138</v>
      </c>
    </row>
    <row r="301" spans="1:12" x14ac:dyDescent="0.2">
      <c r="A301" s="107" t="s">
        <v>388</v>
      </c>
      <c r="B301" s="107" t="s">
        <v>389</v>
      </c>
      <c r="C301" s="233">
        <v>2010</v>
      </c>
      <c r="D301" s="110" t="s">
        <v>284</v>
      </c>
      <c r="E301" s="110">
        <v>10500</v>
      </c>
      <c r="F301" s="113" t="s">
        <v>334</v>
      </c>
      <c r="G301" s="235">
        <v>16953.805500000002</v>
      </c>
      <c r="H301" s="236" t="s">
        <v>138</v>
      </c>
    </row>
    <row r="302" spans="1:12" x14ac:dyDescent="0.2">
      <c r="A302" s="107" t="s">
        <v>388</v>
      </c>
      <c r="B302" s="107" t="s">
        <v>389</v>
      </c>
      <c r="C302" s="233">
        <v>2010</v>
      </c>
      <c r="D302" s="110" t="s">
        <v>284</v>
      </c>
      <c r="E302" s="110">
        <v>10910</v>
      </c>
      <c r="F302" s="113" t="s">
        <v>301</v>
      </c>
      <c r="G302" s="235">
        <v>185850.44152525</v>
      </c>
      <c r="H302" s="236" t="s">
        <v>155</v>
      </c>
    </row>
    <row r="303" spans="1:12" x14ac:dyDescent="0.2">
      <c r="A303" s="107" t="s">
        <v>388</v>
      </c>
      <c r="B303" s="107" t="s">
        <v>389</v>
      </c>
      <c r="C303" s="233">
        <v>2010</v>
      </c>
      <c r="D303" s="110" t="s">
        <v>284</v>
      </c>
      <c r="E303" s="110">
        <v>10990</v>
      </c>
      <c r="F303" s="113" t="s">
        <v>84</v>
      </c>
      <c r="G303" s="235">
        <v>192462.42567025</v>
      </c>
      <c r="H303" s="236" t="s">
        <v>231</v>
      </c>
    </row>
    <row r="304" spans="1:12" s="26" customFormat="1" x14ac:dyDescent="0.2">
      <c r="A304" s="107" t="s">
        <v>388</v>
      </c>
      <c r="B304" s="107" t="s">
        <v>389</v>
      </c>
      <c r="C304" s="233">
        <v>2010</v>
      </c>
      <c r="D304" s="110" t="s">
        <v>284</v>
      </c>
      <c r="E304" s="110">
        <v>11020</v>
      </c>
      <c r="F304" s="113" t="s">
        <v>294</v>
      </c>
      <c r="G304" s="235">
        <v>901.94245260000014</v>
      </c>
      <c r="H304" s="236" t="s">
        <v>307</v>
      </c>
      <c r="I304" s="14"/>
      <c r="J304" s="14"/>
      <c r="L304" s="120"/>
    </row>
    <row r="305" spans="1:8" x14ac:dyDescent="0.2">
      <c r="A305" s="107" t="s">
        <v>388</v>
      </c>
      <c r="B305" s="107" t="s">
        <v>389</v>
      </c>
      <c r="C305" s="233">
        <v>2010</v>
      </c>
      <c r="D305" s="110" t="s">
        <v>284</v>
      </c>
      <c r="E305" s="110">
        <v>11150</v>
      </c>
      <c r="F305" s="113" t="s">
        <v>327</v>
      </c>
      <c r="G305" s="235">
        <v>421.41509204500005</v>
      </c>
      <c r="H305" s="236" t="s">
        <v>307</v>
      </c>
    </row>
    <row r="306" spans="1:8" x14ac:dyDescent="0.2">
      <c r="A306" s="107" t="s">
        <v>388</v>
      </c>
      <c r="B306" s="107" t="s">
        <v>389</v>
      </c>
      <c r="C306" s="233">
        <v>2010</v>
      </c>
      <c r="D306" s="110" t="s">
        <v>284</v>
      </c>
      <c r="E306" s="110">
        <v>11151</v>
      </c>
      <c r="F306" s="113" t="s">
        <v>376</v>
      </c>
      <c r="G306" s="235">
        <v>26898.907806299998</v>
      </c>
      <c r="H306" s="236" t="s">
        <v>307</v>
      </c>
    </row>
    <row r="307" spans="1:8" x14ac:dyDescent="0.2">
      <c r="A307" s="107" t="s">
        <v>388</v>
      </c>
      <c r="B307" s="107" t="s">
        <v>389</v>
      </c>
      <c r="C307" s="233">
        <v>2010</v>
      </c>
      <c r="D307" s="110" t="s">
        <v>284</v>
      </c>
      <c r="E307" s="110">
        <v>11200</v>
      </c>
      <c r="F307" s="113" t="s">
        <v>311</v>
      </c>
      <c r="G307" s="235">
        <v>1162.7937040229999</v>
      </c>
      <c r="H307" s="236" t="s">
        <v>307</v>
      </c>
    </row>
    <row r="308" spans="1:8" x14ac:dyDescent="0.2">
      <c r="A308" s="107" t="s">
        <v>388</v>
      </c>
      <c r="B308" s="107" t="s">
        <v>389</v>
      </c>
      <c r="C308" s="233">
        <v>2010</v>
      </c>
      <c r="D308" s="110" t="s">
        <v>284</v>
      </c>
      <c r="E308" s="110">
        <v>11210</v>
      </c>
      <c r="F308" s="113" t="s">
        <v>339</v>
      </c>
      <c r="G308" s="235">
        <v>8893.9663653000007</v>
      </c>
      <c r="H308" s="236" t="s">
        <v>307</v>
      </c>
    </row>
    <row r="309" spans="1:8" x14ac:dyDescent="0.2">
      <c r="A309" s="107" t="s">
        <v>388</v>
      </c>
      <c r="B309" s="107" t="s">
        <v>389</v>
      </c>
      <c r="C309" s="233">
        <v>2010</v>
      </c>
      <c r="D309" s="110" t="s">
        <v>284</v>
      </c>
      <c r="E309" s="110">
        <v>11300</v>
      </c>
      <c r="F309" s="113" t="s">
        <v>312</v>
      </c>
      <c r="G309" s="235">
        <v>1504.81977618</v>
      </c>
      <c r="H309" s="236" t="s">
        <v>307</v>
      </c>
    </row>
    <row r="310" spans="1:8" x14ac:dyDescent="0.2">
      <c r="A310" s="107" t="s">
        <v>388</v>
      </c>
      <c r="B310" s="107" t="s">
        <v>389</v>
      </c>
      <c r="C310" s="233">
        <v>2010</v>
      </c>
      <c r="D310" s="110" t="s">
        <v>284</v>
      </c>
      <c r="E310" s="110">
        <v>11301</v>
      </c>
      <c r="F310" s="113" t="s">
        <v>342</v>
      </c>
      <c r="G310" s="235">
        <v>-9041.9165746300005</v>
      </c>
      <c r="H310" s="236" t="s">
        <v>307</v>
      </c>
    </row>
    <row r="311" spans="1:8" x14ac:dyDescent="0.2">
      <c r="A311" s="107" t="s">
        <v>388</v>
      </c>
      <c r="B311" s="107" t="s">
        <v>389</v>
      </c>
      <c r="C311" s="233">
        <v>2010</v>
      </c>
      <c r="D311" s="110" t="s">
        <v>284</v>
      </c>
      <c r="E311" s="110">
        <v>11400</v>
      </c>
      <c r="F311" s="113" t="s">
        <v>295</v>
      </c>
      <c r="G311" s="235">
        <v>16316.794514679998</v>
      </c>
      <c r="H311" s="236" t="s">
        <v>307</v>
      </c>
    </row>
    <row r="312" spans="1:8" x14ac:dyDescent="0.2">
      <c r="A312" s="107" t="s">
        <v>388</v>
      </c>
      <c r="B312" s="107" t="s">
        <v>389</v>
      </c>
      <c r="C312" s="233">
        <v>2010</v>
      </c>
      <c r="D312" s="110" t="s">
        <v>284</v>
      </c>
      <c r="E312" s="110">
        <v>11500</v>
      </c>
      <c r="F312" s="113" t="s">
        <v>343</v>
      </c>
      <c r="G312" s="235">
        <v>58195.463221244994</v>
      </c>
      <c r="H312" s="236" t="s">
        <v>307</v>
      </c>
    </row>
    <row r="313" spans="1:8" x14ac:dyDescent="0.2">
      <c r="A313" s="107" t="s">
        <v>388</v>
      </c>
      <c r="B313" s="107" t="s">
        <v>389</v>
      </c>
      <c r="C313" s="233">
        <v>2010</v>
      </c>
      <c r="D313" s="110" t="s">
        <v>284</v>
      </c>
      <c r="E313" s="110">
        <v>11600</v>
      </c>
      <c r="F313" s="113" t="s">
        <v>344</v>
      </c>
      <c r="G313" s="235">
        <v>3914.2946138399998</v>
      </c>
      <c r="H313" s="236" t="s">
        <v>307</v>
      </c>
    </row>
    <row r="314" spans="1:8" x14ac:dyDescent="0.2">
      <c r="A314" s="107" t="s">
        <v>388</v>
      </c>
      <c r="B314" s="107" t="s">
        <v>389</v>
      </c>
      <c r="C314" s="233">
        <v>2010</v>
      </c>
      <c r="D314" s="110" t="s">
        <v>284</v>
      </c>
      <c r="E314" s="110">
        <v>11650</v>
      </c>
      <c r="F314" s="113" t="s">
        <v>345</v>
      </c>
      <c r="G314" s="235">
        <v>2899.7562876460001</v>
      </c>
      <c r="H314" s="236" t="s">
        <v>307</v>
      </c>
    </row>
    <row r="315" spans="1:8" x14ac:dyDescent="0.2">
      <c r="A315" s="107" t="s">
        <v>388</v>
      </c>
      <c r="B315" s="107" t="s">
        <v>389</v>
      </c>
      <c r="C315" s="233">
        <v>2010</v>
      </c>
      <c r="D315" s="110" t="s">
        <v>284</v>
      </c>
      <c r="E315" s="110">
        <v>11651</v>
      </c>
      <c r="F315" s="113" t="s">
        <v>346</v>
      </c>
      <c r="G315" s="235">
        <v>10316.842748229999</v>
      </c>
      <c r="H315" s="236" t="s">
        <v>307</v>
      </c>
    </row>
    <row r="316" spans="1:8" x14ac:dyDescent="0.2">
      <c r="A316" s="107" t="s">
        <v>388</v>
      </c>
      <c r="B316" s="107" t="s">
        <v>389</v>
      </c>
      <c r="C316" s="233">
        <v>2010</v>
      </c>
      <c r="D316" s="110" t="s">
        <v>284</v>
      </c>
      <c r="E316" s="110">
        <v>11720</v>
      </c>
      <c r="F316" s="113" t="s">
        <v>384</v>
      </c>
      <c r="G316" s="235">
        <v>2858.4116072999996</v>
      </c>
      <c r="H316" s="236" t="s">
        <v>307</v>
      </c>
    </row>
    <row r="317" spans="1:8" x14ac:dyDescent="0.2">
      <c r="A317" s="107" t="s">
        <v>388</v>
      </c>
      <c r="B317" s="107" t="s">
        <v>389</v>
      </c>
      <c r="C317" s="233">
        <v>2010</v>
      </c>
      <c r="D317" s="110" t="s">
        <v>284</v>
      </c>
      <c r="E317" s="110">
        <v>11980</v>
      </c>
      <c r="F317" s="113" t="s">
        <v>317</v>
      </c>
      <c r="G317" s="235">
        <v>4747.0655400000005</v>
      </c>
      <c r="H317" s="236" t="s">
        <v>307</v>
      </c>
    </row>
    <row r="318" spans="1:8" x14ac:dyDescent="0.2">
      <c r="A318" s="107" t="s">
        <v>388</v>
      </c>
      <c r="B318" s="107" t="s">
        <v>389</v>
      </c>
      <c r="C318" s="233">
        <v>2010</v>
      </c>
      <c r="D318" s="110" t="s">
        <v>284</v>
      </c>
      <c r="E318" s="110">
        <v>12000</v>
      </c>
      <c r="F318" s="113" t="s">
        <v>314</v>
      </c>
      <c r="G318" s="235">
        <v>12305.072031899999</v>
      </c>
      <c r="H318" s="236" t="s">
        <v>307</v>
      </c>
    </row>
    <row r="319" spans="1:8" x14ac:dyDescent="0.2">
      <c r="A319" s="107" t="s">
        <v>388</v>
      </c>
      <c r="B319" s="107" t="s">
        <v>389</v>
      </c>
      <c r="C319" s="233">
        <v>2010</v>
      </c>
      <c r="D319" s="110" t="s">
        <v>284</v>
      </c>
      <c r="E319" s="110">
        <v>13500</v>
      </c>
      <c r="F319" s="113" t="s">
        <v>391</v>
      </c>
      <c r="G319" s="235">
        <v>1424425.9607527002</v>
      </c>
      <c r="H319" s="236" t="s">
        <v>307</v>
      </c>
    </row>
    <row r="320" spans="1:8" x14ac:dyDescent="0.2">
      <c r="A320" s="107" t="s">
        <v>388</v>
      </c>
      <c r="B320" s="107" t="s">
        <v>389</v>
      </c>
      <c r="C320" s="233">
        <v>2010</v>
      </c>
      <c r="D320" s="110" t="s">
        <v>284</v>
      </c>
      <c r="E320" s="110">
        <v>14290</v>
      </c>
      <c r="F320" s="113" t="s">
        <v>296</v>
      </c>
      <c r="G320" s="235">
        <v>15488.262039894998</v>
      </c>
      <c r="H320" s="236" t="s">
        <v>307</v>
      </c>
    </row>
    <row r="321" spans="1:8" x14ac:dyDescent="0.2">
      <c r="A321" s="107" t="s">
        <v>388</v>
      </c>
      <c r="B321" s="107" t="s">
        <v>389</v>
      </c>
      <c r="C321" s="233">
        <v>2010</v>
      </c>
      <c r="D321" s="110" t="s">
        <v>284</v>
      </c>
      <c r="E321" s="110">
        <v>15400</v>
      </c>
      <c r="F321" s="113" t="s">
        <v>392</v>
      </c>
      <c r="G321" s="235">
        <v>2213036.7446000003</v>
      </c>
      <c r="H321" s="236" t="s">
        <v>307</v>
      </c>
    </row>
    <row r="322" spans="1:8" x14ac:dyDescent="0.2">
      <c r="A322" s="107" t="s">
        <v>388</v>
      </c>
      <c r="B322" s="107" t="s">
        <v>389</v>
      </c>
      <c r="C322" s="233">
        <v>2010</v>
      </c>
      <c r="D322" s="110" t="s">
        <v>284</v>
      </c>
      <c r="E322" s="110">
        <v>15500</v>
      </c>
      <c r="F322" s="113" t="s">
        <v>393</v>
      </c>
      <c r="G322" s="235">
        <v>181675.84948429998</v>
      </c>
      <c r="H322" s="236" t="s">
        <v>307</v>
      </c>
    </row>
    <row r="323" spans="1:8" x14ac:dyDescent="0.2">
      <c r="A323" s="107" t="s">
        <v>388</v>
      </c>
      <c r="B323" s="107" t="s">
        <v>389</v>
      </c>
      <c r="C323" s="233">
        <v>2010</v>
      </c>
      <c r="D323" s="110" t="s">
        <v>284</v>
      </c>
      <c r="E323" s="110">
        <v>16000</v>
      </c>
      <c r="F323" s="113" t="s">
        <v>351</v>
      </c>
      <c r="G323" s="235">
        <v>469055.2855</v>
      </c>
      <c r="H323" s="236" t="s">
        <v>307</v>
      </c>
    </row>
    <row r="324" spans="1:8" x14ac:dyDescent="0.2">
      <c r="A324" s="107" t="s">
        <v>388</v>
      </c>
      <c r="B324" s="107" t="s">
        <v>389</v>
      </c>
      <c r="C324" s="233">
        <v>2010</v>
      </c>
      <c r="D324" s="110" t="s">
        <v>284</v>
      </c>
      <c r="E324" s="110">
        <v>17100</v>
      </c>
      <c r="F324" s="113" t="s">
        <v>328</v>
      </c>
      <c r="G324" s="235">
        <v>-94434.957142399988</v>
      </c>
      <c r="H324" s="236" t="s">
        <v>307</v>
      </c>
    </row>
    <row r="325" spans="1:8" x14ac:dyDescent="0.2">
      <c r="A325" s="107" t="s">
        <v>388</v>
      </c>
      <c r="B325" s="107" t="s">
        <v>389</v>
      </c>
      <c r="C325" s="233">
        <v>2010</v>
      </c>
      <c r="D325" s="110" t="s">
        <v>284</v>
      </c>
      <c r="E325" s="110">
        <v>17110</v>
      </c>
      <c r="F325" s="113" t="s">
        <v>329</v>
      </c>
      <c r="G325" s="235">
        <v>-7747.1996587430012</v>
      </c>
      <c r="H325" s="236" t="s">
        <v>307</v>
      </c>
    </row>
    <row r="326" spans="1:8" x14ac:dyDescent="0.2">
      <c r="A326" s="107" t="s">
        <v>388</v>
      </c>
      <c r="B326" s="107" t="s">
        <v>389</v>
      </c>
      <c r="C326" s="233">
        <v>2010</v>
      </c>
      <c r="D326" s="110" t="s">
        <v>284</v>
      </c>
      <c r="E326" s="110">
        <v>17290</v>
      </c>
      <c r="F326" s="113" t="s">
        <v>297</v>
      </c>
      <c r="G326" s="235">
        <v>-15488.262039894998</v>
      </c>
      <c r="H326" s="236" t="s">
        <v>307</v>
      </c>
    </row>
    <row r="327" spans="1:8" x14ac:dyDescent="0.2">
      <c r="A327" s="107" t="s">
        <v>388</v>
      </c>
      <c r="B327" s="107" t="s">
        <v>389</v>
      </c>
      <c r="C327" s="233">
        <v>2010</v>
      </c>
      <c r="D327" s="110" t="s">
        <v>284</v>
      </c>
      <c r="E327" s="110">
        <v>17500</v>
      </c>
      <c r="F327" s="113" t="s">
        <v>394</v>
      </c>
      <c r="G327" s="235">
        <v>-1213701.4609247001</v>
      </c>
      <c r="H327" s="236" t="s">
        <v>307</v>
      </c>
    </row>
    <row r="328" spans="1:8" x14ac:dyDescent="0.2">
      <c r="A328" s="107" t="s">
        <v>388</v>
      </c>
      <c r="B328" s="107" t="s">
        <v>389</v>
      </c>
      <c r="C328" s="233">
        <v>2010</v>
      </c>
      <c r="D328" s="110" t="s">
        <v>284</v>
      </c>
      <c r="E328" s="110">
        <v>18300</v>
      </c>
      <c r="F328" s="113" t="s">
        <v>395</v>
      </c>
      <c r="G328" s="235">
        <v>-181675.84948429998</v>
      </c>
      <c r="H328" s="236" t="s">
        <v>307</v>
      </c>
    </row>
    <row r="329" spans="1:8" x14ac:dyDescent="0.2">
      <c r="A329" s="107" t="s">
        <v>396</v>
      </c>
      <c r="B329" s="107" t="s">
        <v>397</v>
      </c>
      <c r="C329" s="233">
        <v>2010</v>
      </c>
      <c r="D329" s="110" t="s">
        <v>284</v>
      </c>
      <c r="E329" s="110">
        <v>15900</v>
      </c>
      <c r="F329" s="113" t="s">
        <v>398</v>
      </c>
      <c r="G329" s="235">
        <v>79173.141431299999</v>
      </c>
      <c r="H329" s="236" t="s">
        <v>399</v>
      </c>
    </row>
    <row r="330" spans="1:8" x14ac:dyDescent="0.2">
      <c r="H330" s="231"/>
    </row>
    <row r="335" spans="1:8" x14ac:dyDescent="0.2">
      <c r="C335"/>
      <c r="D335"/>
    </row>
    <row r="336" spans="1:8" x14ac:dyDescent="0.2">
      <c r="C336"/>
      <c r="D336"/>
    </row>
    <row r="337" spans="1:4" x14ac:dyDescent="0.2">
      <c r="C337"/>
      <c r="D337"/>
    </row>
    <row r="338" spans="1:4" x14ac:dyDescent="0.2">
      <c r="C338"/>
      <c r="D338"/>
    </row>
    <row r="339" spans="1:4" x14ac:dyDescent="0.2">
      <c r="C339"/>
      <c r="D339"/>
    </row>
    <row r="340" spans="1:4" x14ac:dyDescent="0.2">
      <c r="C340"/>
      <c r="D340"/>
    </row>
    <row r="341" spans="1:4" x14ac:dyDescent="0.2">
      <c r="C341"/>
      <c r="D341"/>
    </row>
    <row r="342" spans="1:4" x14ac:dyDescent="0.2">
      <c r="C342"/>
      <c r="D342"/>
    </row>
    <row r="343" spans="1:4" x14ac:dyDescent="0.2">
      <c r="C343"/>
      <c r="D343"/>
    </row>
    <row r="344" spans="1:4" x14ac:dyDescent="0.2">
      <c r="C344"/>
      <c r="D344"/>
    </row>
    <row r="345" spans="1:4" x14ac:dyDescent="0.2">
      <c r="C345"/>
      <c r="D345"/>
    </row>
    <row r="346" spans="1:4" x14ac:dyDescent="0.2">
      <c r="C346"/>
      <c r="D346"/>
    </row>
    <row r="347" spans="1:4" x14ac:dyDescent="0.2">
      <c r="C347"/>
      <c r="D347"/>
    </row>
    <row r="348" spans="1:4" x14ac:dyDescent="0.2">
      <c r="C348"/>
      <c r="D348"/>
    </row>
    <row r="349" spans="1:4" x14ac:dyDescent="0.2">
      <c r="C349"/>
      <c r="D349"/>
    </row>
    <row r="350" spans="1:4" x14ac:dyDescent="0.2">
      <c r="C350"/>
      <c r="D350"/>
    </row>
    <row r="351" spans="1:4" x14ac:dyDescent="0.2">
      <c r="A351"/>
      <c r="B351"/>
      <c r="C351"/>
      <c r="D351"/>
    </row>
    <row r="352" spans="1:4" x14ac:dyDescent="0.2">
      <c r="A352"/>
      <c r="B352"/>
      <c r="C352"/>
      <c r="D352"/>
    </row>
    <row r="353" spans="1:7" x14ac:dyDescent="0.2">
      <c r="A353"/>
      <c r="B353"/>
      <c r="C353"/>
      <c r="D353"/>
    </row>
    <row r="354" spans="1:7" x14ac:dyDescent="0.2">
      <c r="A354"/>
      <c r="B354"/>
      <c r="C354"/>
      <c r="D354"/>
      <c r="F354"/>
      <c r="G354"/>
    </row>
    <row r="355" spans="1:7" x14ac:dyDescent="0.2">
      <c r="A355"/>
      <c r="B355"/>
      <c r="C355"/>
      <c r="D355"/>
    </row>
    <row r="356" spans="1:7" x14ac:dyDescent="0.2">
      <c r="A356"/>
      <c r="B356"/>
      <c r="C356"/>
      <c r="D356"/>
    </row>
    <row r="357" spans="1:7" x14ac:dyDescent="0.2">
      <c r="A357"/>
      <c r="B357"/>
      <c r="C357"/>
      <c r="D357"/>
    </row>
    <row r="358" spans="1:7" x14ac:dyDescent="0.2">
      <c r="A358"/>
      <c r="B358"/>
      <c r="C358"/>
      <c r="D358"/>
    </row>
    <row r="359" spans="1:7" x14ac:dyDescent="0.2">
      <c r="A359"/>
      <c r="B359"/>
      <c r="C359"/>
      <c r="D359"/>
    </row>
    <row r="360" spans="1:7" x14ac:dyDescent="0.2">
      <c r="A360"/>
      <c r="B360"/>
      <c r="C360"/>
      <c r="D360"/>
    </row>
    <row r="361" spans="1:7" x14ac:dyDescent="0.2">
      <c r="A361"/>
      <c r="B361"/>
      <c r="C361"/>
      <c r="D361"/>
    </row>
    <row r="362" spans="1:7" x14ac:dyDescent="0.2">
      <c r="A362"/>
      <c r="B362"/>
      <c r="C362"/>
      <c r="D362"/>
    </row>
    <row r="363" spans="1:7" x14ac:dyDescent="0.2">
      <c r="A363"/>
      <c r="B363"/>
      <c r="C363"/>
      <c r="D363"/>
    </row>
    <row r="364" spans="1:7" x14ac:dyDescent="0.2">
      <c r="A364"/>
      <c r="B364"/>
      <c r="C364"/>
      <c r="D364"/>
    </row>
    <row r="365" spans="1:7" x14ac:dyDescent="0.2">
      <c r="A365"/>
      <c r="B365"/>
      <c r="C365"/>
      <c r="D365"/>
    </row>
    <row r="366" spans="1:7" x14ac:dyDescent="0.2">
      <c r="A366"/>
      <c r="B366"/>
      <c r="C366"/>
      <c r="D366"/>
    </row>
    <row r="367" spans="1:7" x14ac:dyDescent="0.2">
      <c r="A367"/>
      <c r="B367"/>
      <c r="C367"/>
      <c r="D367"/>
    </row>
    <row r="368" spans="1:7" x14ac:dyDescent="0.2">
      <c r="A368"/>
      <c r="B368"/>
      <c r="C368"/>
      <c r="D368"/>
    </row>
    <row r="369" spans="1:4" x14ac:dyDescent="0.2">
      <c r="A369"/>
      <c r="B369"/>
      <c r="C369"/>
      <c r="D369"/>
    </row>
    <row r="370" spans="1:4" x14ac:dyDescent="0.2">
      <c r="A370"/>
      <c r="B370"/>
      <c r="C370"/>
      <c r="D370"/>
    </row>
    <row r="371" spans="1:4" x14ac:dyDescent="0.2">
      <c r="A371"/>
      <c r="B371"/>
      <c r="C371"/>
      <c r="D371"/>
    </row>
    <row r="372" spans="1:4" x14ac:dyDescent="0.2">
      <c r="A372"/>
      <c r="B372"/>
      <c r="C372"/>
      <c r="D372"/>
    </row>
    <row r="373" spans="1:4" x14ac:dyDescent="0.2">
      <c r="A373"/>
      <c r="B373"/>
      <c r="C373"/>
      <c r="D373"/>
    </row>
    <row r="374" spans="1:4" x14ac:dyDescent="0.2">
      <c r="A374"/>
      <c r="B374"/>
      <c r="C374"/>
      <c r="D374"/>
    </row>
    <row r="375" spans="1:4" x14ac:dyDescent="0.2">
      <c r="A375"/>
      <c r="B375"/>
      <c r="C375"/>
      <c r="D375"/>
    </row>
    <row r="376" spans="1:4" x14ac:dyDescent="0.2">
      <c r="A376"/>
      <c r="B376"/>
      <c r="C376"/>
      <c r="D376"/>
    </row>
    <row r="377" spans="1:4" x14ac:dyDescent="0.2">
      <c r="A377"/>
      <c r="B377"/>
      <c r="C377"/>
      <c r="D377"/>
    </row>
    <row r="378" spans="1:4" x14ac:dyDescent="0.2">
      <c r="A378"/>
      <c r="B378"/>
      <c r="C378"/>
      <c r="D378"/>
    </row>
    <row r="379" spans="1:4" x14ac:dyDescent="0.2">
      <c r="A379"/>
      <c r="B379"/>
      <c r="C379"/>
      <c r="D379"/>
    </row>
    <row r="380" spans="1:4" x14ac:dyDescent="0.2">
      <c r="A380"/>
      <c r="B380"/>
      <c r="C380"/>
      <c r="D380"/>
    </row>
    <row r="381" spans="1:4" x14ac:dyDescent="0.2">
      <c r="A381"/>
      <c r="B381"/>
      <c r="C381"/>
      <c r="D381"/>
    </row>
    <row r="382" spans="1:4" x14ac:dyDescent="0.2">
      <c r="A382"/>
      <c r="B382"/>
      <c r="C382"/>
      <c r="D382"/>
    </row>
    <row r="383" spans="1:4" x14ac:dyDescent="0.2">
      <c r="A383"/>
      <c r="B383"/>
      <c r="C383"/>
      <c r="D383"/>
    </row>
    <row r="384" spans="1:4" x14ac:dyDescent="0.2">
      <c r="A384"/>
      <c r="B384"/>
      <c r="C384"/>
      <c r="D384"/>
    </row>
    <row r="385" spans="1:4" x14ac:dyDescent="0.2">
      <c r="A385"/>
      <c r="B385"/>
      <c r="C385"/>
      <c r="D385"/>
    </row>
    <row r="386" spans="1:4" x14ac:dyDescent="0.2">
      <c r="A386"/>
      <c r="B386"/>
      <c r="C386"/>
      <c r="D386"/>
    </row>
    <row r="387" spans="1:4" x14ac:dyDescent="0.2">
      <c r="A387"/>
      <c r="B387"/>
      <c r="C387"/>
      <c r="D387"/>
    </row>
    <row r="388" spans="1:4" x14ac:dyDescent="0.2">
      <c r="A388"/>
      <c r="B388"/>
      <c r="C388"/>
      <c r="D388"/>
    </row>
    <row r="389" spans="1:4" x14ac:dyDescent="0.2">
      <c r="A389"/>
      <c r="B389"/>
      <c r="C389"/>
      <c r="D389"/>
    </row>
    <row r="390" spans="1:4" x14ac:dyDescent="0.2">
      <c r="A390"/>
      <c r="B390"/>
      <c r="C390"/>
      <c r="D390"/>
    </row>
    <row r="391" spans="1:4" x14ac:dyDescent="0.2">
      <c r="A391"/>
      <c r="B391"/>
      <c r="C391"/>
      <c r="D391"/>
    </row>
    <row r="392" spans="1:4" x14ac:dyDescent="0.2">
      <c r="A392"/>
      <c r="B392"/>
      <c r="C392"/>
      <c r="D392"/>
    </row>
    <row r="393" spans="1:4" x14ac:dyDescent="0.2">
      <c r="A393"/>
      <c r="B393"/>
      <c r="C393"/>
      <c r="D393"/>
    </row>
    <row r="394" spans="1:4" x14ac:dyDescent="0.2">
      <c r="A394"/>
      <c r="B394"/>
      <c r="C394"/>
      <c r="D394"/>
    </row>
    <row r="395" spans="1:4" x14ac:dyDescent="0.2">
      <c r="A395"/>
      <c r="B395"/>
      <c r="C395"/>
      <c r="D395"/>
    </row>
    <row r="396" spans="1:4" x14ac:dyDescent="0.2">
      <c r="A396"/>
      <c r="B396"/>
      <c r="C396"/>
      <c r="D396"/>
    </row>
    <row r="397" spans="1:4" x14ac:dyDescent="0.2">
      <c r="A397"/>
      <c r="B397"/>
      <c r="C397"/>
      <c r="D397"/>
    </row>
    <row r="398" spans="1:4" x14ac:dyDescent="0.2">
      <c r="A398"/>
      <c r="B398"/>
      <c r="C398"/>
      <c r="D398"/>
    </row>
    <row r="399" spans="1:4" x14ac:dyDescent="0.2">
      <c r="A399"/>
      <c r="B399"/>
      <c r="C399"/>
      <c r="D399"/>
    </row>
    <row r="400" spans="1:4" x14ac:dyDescent="0.2">
      <c r="A400"/>
      <c r="B400"/>
      <c r="C400"/>
      <c r="D400"/>
    </row>
    <row r="401" spans="1:4" x14ac:dyDescent="0.2">
      <c r="A401"/>
      <c r="B401"/>
      <c r="C401"/>
      <c r="D401"/>
    </row>
    <row r="402" spans="1:4" x14ac:dyDescent="0.2">
      <c r="A402"/>
      <c r="B402"/>
      <c r="C402"/>
      <c r="D402"/>
    </row>
    <row r="403" spans="1:4" x14ac:dyDescent="0.2">
      <c r="A403"/>
      <c r="B403"/>
      <c r="C403"/>
      <c r="D403"/>
    </row>
    <row r="404" spans="1:4" x14ac:dyDescent="0.2">
      <c r="A404"/>
      <c r="B404"/>
      <c r="C404"/>
      <c r="D404"/>
    </row>
    <row r="405" spans="1:4" x14ac:dyDescent="0.2">
      <c r="A405"/>
      <c r="B405"/>
      <c r="C405"/>
      <c r="D405"/>
    </row>
    <row r="406" spans="1:4" x14ac:dyDescent="0.2">
      <c r="A406"/>
      <c r="B406"/>
      <c r="C406"/>
      <c r="D406"/>
    </row>
    <row r="407" spans="1:4" x14ac:dyDescent="0.2">
      <c r="A407"/>
      <c r="B407"/>
      <c r="C407"/>
      <c r="D407"/>
    </row>
    <row r="408" spans="1:4" x14ac:dyDescent="0.2">
      <c r="A408"/>
      <c r="B408"/>
      <c r="C408"/>
      <c r="D408"/>
    </row>
    <row r="409" spans="1:4" x14ac:dyDescent="0.2">
      <c r="A409"/>
      <c r="B409"/>
      <c r="C409"/>
      <c r="D409"/>
    </row>
    <row r="410" spans="1:4" x14ac:dyDescent="0.2">
      <c r="A410"/>
      <c r="B410"/>
      <c r="C410"/>
      <c r="D410"/>
    </row>
    <row r="411" spans="1:4" x14ac:dyDescent="0.2">
      <c r="A411"/>
      <c r="B411"/>
      <c r="C411"/>
      <c r="D411"/>
    </row>
    <row r="412" spans="1:4" x14ac:dyDescent="0.2">
      <c r="A412"/>
      <c r="B412"/>
      <c r="C412"/>
      <c r="D412"/>
    </row>
    <row r="413" spans="1:4" x14ac:dyDescent="0.2">
      <c r="A413"/>
      <c r="B413"/>
      <c r="C413"/>
      <c r="D413"/>
    </row>
    <row r="414" spans="1:4" x14ac:dyDescent="0.2">
      <c r="A414"/>
      <c r="B414"/>
      <c r="C414"/>
      <c r="D414"/>
    </row>
    <row r="415" spans="1:4" x14ac:dyDescent="0.2">
      <c r="A415"/>
      <c r="B415"/>
      <c r="C415"/>
      <c r="D415"/>
    </row>
    <row r="416" spans="1:4" x14ac:dyDescent="0.2">
      <c r="A416"/>
      <c r="B416"/>
      <c r="C416"/>
      <c r="D416"/>
    </row>
    <row r="417" spans="1:4" x14ac:dyDescent="0.2">
      <c r="A417"/>
      <c r="B417"/>
      <c r="C417"/>
      <c r="D417"/>
    </row>
    <row r="418" spans="1:4" x14ac:dyDescent="0.2">
      <c r="A418"/>
      <c r="B418"/>
      <c r="C418"/>
      <c r="D418"/>
    </row>
    <row r="419" spans="1:4" x14ac:dyDescent="0.2">
      <c r="A419"/>
      <c r="B419"/>
      <c r="C419"/>
      <c r="D419"/>
    </row>
    <row r="420" spans="1:4" x14ac:dyDescent="0.2">
      <c r="A420"/>
      <c r="B420"/>
      <c r="C420"/>
      <c r="D420"/>
    </row>
    <row r="421" spans="1:4" x14ac:dyDescent="0.2">
      <c r="A421"/>
      <c r="B421"/>
      <c r="C421"/>
      <c r="D421"/>
    </row>
    <row r="422" spans="1:4" x14ac:dyDescent="0.2">
      <c r="A422"/>
      <c r="B422"/>
      <c r="C422"/>
      <c r="D422"/>
    </row>
    <row r="423" spans="1:4" x14ac:dyDescent="0.2">
      <c r="A423"/>
      <c r="B423"/>
      <c r="C423"/>
      <c r="D423"/>
    </row>
    <row r="424" spans="1:4" x14ac:dyDescent="0.2">
      <c r="A424"/>
      <c r="B424"/>
      <c r="C424"/>
      <c r="D424"/>
    </row>
    <row r="425" spans="1:4" x14ac:dyDescent="0.2">
      <c r="A425"/>
      <c r="B425"/>
      <c r="C425"/>
      <c r="D425"/>
    </row>
    <row r="426" spans="1:4" x14ac:dyDescent="0.2">
      <c r="A426"/>
      <c r="B426"/>
      <c r="C426"/>
      <c r="D426"/>
    </row>
    <row r="427" spans="1:4" x14ac:dyDescent="0.2">
      <c r="A427"/>
      <c r="B427"/>
      <c r="C427"/>
      <c r="D427"/>
    </row>
    <row r="428" spans="1:4" x14ac:dyDescent="0.2">
      <c r="A428"/>
      <c r="B428"/>
      <c r="C428"/>
      <c r="D428"/>
    </row>
    <row r="429" spans="1:4" x14ac:dyDescent="0.2">
      <c r="A429"/>
      <c r="B429"/>
      <c r="C429"/>
      <c r="D429"/>
    </row>
    <row r="430" spans="1:4" x14ac:dyDescent="0.2">
      <c r="A430"/>
      <c r="B430"/>
      <c r="C430"/>
      <c r="D430"/>
    </row>
    <row r="431" spans="1:4" x14ac:dyDescent="0.2">
      <c r="A431"/>
      <c r="B431"/>
      <c r="C431"/>
      <c r="D431"/>
    </row>
    <row r="432" spans="1:4" x14ac:dyDescent="0.2">
      <c r="A432"/>
      <c r="B432"/>
      <c r="C432"/>
      <c r="D432"/>
    </row>
    <row r="433" spans="1:4" x14ac:dyDescent="0.2">
      <c r="A433"/>
      <c r="B433"/>
      <c r="C433"/>
      <c r="D433"/>
    </row>
    <row r="434" spans="1:4" x14ac:dyDescent="0.2">
      <c r="A434"/>
      <c r="B434"/>
      <c r="C434"/>
      <c r="D434"/>
    </row>
    <row r="435" spans="1:4" x14ac:dyDescent="0.2">
      <c r="A435"/>
      <c r="B435"/>
      <c r="C435"/>
      <c r="D435"/>
    </row>
    <row r="436" spans="1:4" x14ac:dyDescent="0.2">
      <c r="A436"/>
      <c r="B436"/>
      <c r="C436"/>
      <c r="D436"/>
    </row>
    <row r="437" spans="1:4" x14ac:dyDescent="0.2">
      <c r="A437"/>
      <c r="B437"/>
      <c r="C437"/>
      <c r="D437"/>
    </row>
    <row r="438" spans="1:4" x14ac:dyDescent="0.2">
      <c r="A438"/>
      <c r="B438"/>
      <c r="C438"/>
      <c r="D438"/>
    </row>
    <row r="439" spans="1:4" x14ac:dyDescent="0.2">
      <c r="A439"/>
      <c r="B439"/>
      <c r="C439"/>
      <c r="D439"/>
    </row>
    <row r="440" spans="1:4" x14ac:dyDescent="0.2">
      <c r="A440"/>
      <c r="B440"/>
      <c r="C440"/>
      <c r="D440"/>
    </row>
    <row r="441" spans="1:4" x14ac:dyDescent="0.2">
      <c r="A441"/>
      <c r="B441"/>
      <c r="C441"/>
      <c r="D441"/>
    </row>
    <row r="442" spans="1:4" x14ac:dyDescent="0.2">
      <c r="A442"/>
      <c r="B442"/>
      <c r="C442"/>
      <c r="D442"/>
    </row>
    <row r="443" spans="1:4" x14ac:dyDescent="0.2">
      <c r="A443"/>
      <c r="B443"/>
      <c r="C443"/>
      <c r="D443"/>
    </row>
    <row r="444" spans="1:4" x14ac:dyDescent="0.2">
      <c r="A444"/>
      <c r="B444"/>
      <c r="C444"/>
      <c r="D444"/>
    </row>
    <row r="445" spans="1:4" x14ac:dyDescent="0.2">
      <c r="A445"/>
      <c r="B445"/>
      <c r="C445"/>
      <c r="D445"/>
    </row>
    <row r="446" spans="1:4" x14ac:dyDescent="0.2">
      <c r="A446"/>
      <c r="B446"/>
      <c r="C446"/>
      <c r="D446"/>
    </row>
    <row r="447" spans="1:4" x14ac:dyDescent="0.2">
      <c r="A447"/>
      <c r="B447"/>
      <c r="C447"/>
      <c r="D447"/>
    </row>
    <row r="448" spans="1:4" x14ac:dyDescent="0.2">
      <c r="A448"/>
      <c r="B448"/>
      <c r="C448"/>
      <c r="D448"/>
    </row>
    <row r="449" spans="1:4" x14ac:dyDescent="0.2">
      <c r="A449"/>
      <c r="B449"/>
      <c r="C449"/>
      <c r="D449"/>
    </row>
    <row r="450" spans="1:4" x14ac:dyDescent="0.2">
      <c r="A450"/>
      <c r="B450"/>
      <c r="C450"/>
      <c r="D450"/>
    </row>
    <row r="451" spans="1:4" x14ac:dyDescent="0.2">
      <c r="A451"/>
      <c r="B451"/>
      <c r="C451"/>
      <c r="D451"/>
    </row>
    <row r="452" spans="1:4" x14ac:dyDescent="0.2">
      <c r="A452"/>
      <c r="B452"/>
      <c r="C452"/>
      <c r="D452"/>
    </row>
    <row r="453" spans="1:4" x14ac:dyDescent="0.2">
      <c r="A453"/>
      <c r="B453"/>
      <c r="C453"/>
      <c r="D453"/>
    </row>
    <row r="454" spans="1:4" x14ac:dyDescent="0.2">
      <c r="A454"/>
      <c r="B454"/>
      <c r="C454"/>
      <c r="D454"/>
    </row>
    <row r="455" spans="1:4" x14ac:dyDescent="0.2">
      <c r="A455"/>
      <c r="B455"/>
      <c r="C455"/>
      <c r="D455"/>
    </row>
    <row r="456" spans="1:4" x14ac:dyDescent="0.2">
      <c r="A456"/>
      <c r="B456"/>
      <c r="C456"/>
      <c r="D456"/>
    </row>
    <row r="457" spans="1:4" x14ac:dyDescent="0.2">
      <c r="A457"/>
      <c r="B457"/>
      <c r="C457"/>
      <c r="D457"/>
    </row>
    <row r="458" spans="1:4" x14ac:dyDescent="0.2">
      <c r="A458"/>
      <c r="B458"/>
      <c r="C458"/>
      <c r="D458"/>
    </row>
    <row r="459" spans="1:4" x14ac:dyDescent="0.2">
      <c r="A459"/>
      <c r="B459"/>
      <c r="C459"/>
      <c r="D459"/>
    </row>
    <row r="460" spans="1:4" x14ac:dyDescent="0.2">
      <c r="A460"/>
      <c r="B460"/>
      <c r="C460"/>
      <c r="D460"/>
    </row>
  </sheetData>
  <pageMargins left="0.16" right="0.16" top="0.5" bottom="0.37" header="0.51181102362204722" footer="0.51181102362204722"/>
  <pageSetup paperSize="9" scale="90"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topLeftCell="G1" zoomScaleNormal="100" workbookViewId="0">
      <selection activeCell="K29" sqref="K29"/>
    </sheetView>
  </sheetViews>
  <sheetFormatPr baseColWidth="10" defaultColWidth="11.42578125" defaultRowHeight="12.75" x14ac:dyDescent="0.2"/>
  <cols>
    <col min="1" max="1" width="8" style="123" customWidth="1"/>
    <col min="2" max="2" width="18" style="7" customWidth="1"/>
    <col min="3" max="3" width="15.28515625" style="8" customWidth="1"/>
    <col min="4" max="4" width="23.42578125" style="8" customWidth="1"/>
    <col min="5" max="5" width="9.42578125" style="127" customWidth="1"/>
    <col min="6" max="6" width="20.28515625" style="9" customWidth="1"/>
    <col min="7" max="7" width="9.28515625" style="31" customWidth="1"/>
    <col min="8" max="8" width="26" style="9" customWidth="1"/>
    <col min="9" max="10" width="11.28515625" style="9" customWidth="1"/>
    <col min="11" max="11" width="20" style="9" customWidth="1"/>
    <col min="12" max="12" width="9.140625" style="31" customWidth="1"/>
    <col min="13" max="16384" width="11.42578125" style="7"/>
  </cols>
  <sheetData>
    <row r="1" spans="1:14" x14ac:dyDescent="0.2">
      <c r="A1" s="122" t="s">
        <v>29</v>
      </c>
      <c r="B1" s="108" t="s">
        <v>78</v>
      </c>
      <c r="C1" s="108" t="s">
        <v>79</v>
      </c>
      <c r="D1" s="109" t="s">
        <v>80</v>
      </c>
      <c r="E1" s="126" t="s">
        <v>82</v>
      </c>
      <c r="F1" s="111" t="s">
        <v>83</v>
      </c>
      <c r="G1" s="112" t="s">
        <v>90</v>
      </c>
      <c r="H1" s="113" t="s">
        <v>85</v>
      </c>
    </row>
    <row r="2" spans="1:14" x14ac:dyDescent="0.2">
      <c r="A2" s="244">
        <v>121</v>
      </c>
      <c r="B2" s="233" t="s">
        <v>288</v>
      </c>
      <c r="C2" s="233">
        <v>2210</v>
      </c>
      <c r="D2" s="109" t="s">
        <v>400</v>
      </c>
      <c r="E2" s="126">
        <v>10930</v>
      </c>
      <c r="F2" s="234" t="s">
        <v>289</v>
      </c>
      <c r="G2" s="235">
        <v>3399.42</v>
      </c>
      <c r="H2" s="113" t="s">
        <v>92</v>
      </c>
      <c r="I2" s="119"/>
      <c r="J2" s="119"/>
      <c r="K2" s="14" t="s">
        <v>142</v>
      </c>
      <c r="L2" s="121">
        <f t="shared" ref="L2:L10" si="0">SUMIF(H:H,K2,G:G)</f>
        <v>2542320.1560959998</v>
      </c>
    </row>
    <row r="3" spans="1:14" x14ac:dyDescent="0.2">
      <c r="A3" s="244">
        <v>121</v>
      </c>
      <c r="B3" s="233" t="s">
        <v>288</v>
      </c>
      <c r="C3" s="233">
        <v>2210</v>
      </c>
      <c r="D3" s="109" t="s">
        <v>400</v>
      </c>
      <c r="E3" s="126">
        <v>11860</v>
      </c>
      <c r="F3" s="234" t="s">
        <v>290</v>
      </c>
      <c r="G3" s="235">
        <v>3399.42</v>
      </c>
      <c r="H3" s="113" t="s">
        <v>92</v>
      </c>
      <c r="K3" s="14" t="s">
        <v>92</v>
      </c>
      <c r="L3" s="121">
        <f t="shared" si="0"/>
        <v>2471207.6891160002</v>
      </c>
    </row>
    <row r="4" spans="1:14" x14ac:dyDescent="0.2">
      <c r="A4" s="244">
        <v>270</v>
      </c>
      <c r="B4" s="233" t="s">
        <v>331</v>
      </c>
      <c r="C4" s="233">
        <v>2210</v>
      </c>
      <c r="D4" s="109" t="s">
        <v>400</v>
      </c>
      <c r="E4" s="126">
        <v>11800</v>
      </c>
      <c r="F4" s="234" t="s">
        <v>347</v>
      </c>
      <c r="G4" s="235">
        <v>108149.62379879999</v>
      </c>
      <c r="H4" s="113" t="s">
        <v>92</v>
      </c>
      <c r="K4" s="14" t="s">
        <v>87</v>
      </c>
      <c r="L4" s="121">
        <f t="shared" si="0"/>
        <v>592398.61185760004</v>
      </c>
    </row>
    <row r="5" spans="1:14" x14ac:dyDescent="0.2">
      <c r="A5" s="244">
        <v>270</v>
      </c>
      <c r="B5" s="233" t="s">
        <v>331</v>
      </c>
      <c r="C5" s="233">
        <v>2210</v>
      </c>
      <c r="D5" s="109" t="s">
        <v>400</v>
      </c>
      <c r="E5" s="126">
        <v>11870</v>
      </c>
      <c r="F5" s="234" t="s">
        <v>401</v>
      </c>
      <c r="G5" s="235">
        <v>962.03585999999996</v>
      </c>
      <c r="H5" s="113" t="s">
        <v>92</v>
      </c>
      <c r="K5" s="14" t="s">
        <v>89</v>
      </c>
      <c r="L5" s="121">
        <f t="shared" si="0"/>
        <v>-203797.34797179996</v>
      </c>
    </row>
    <row r="6" spans="1:14" x14ac:dyDescent="0.2">
      <c r="A6" s="244">
        <v>270</v>
      </c>
      <c r="B6" s="233" t="s">
        <v>331</v>
      </c>
      <c r="C6" s="233">
        <v>2210</v>
      </c>
      <c r="D6" s="109" t="s">
        <v>400</v>
      </c>
      <c r="E6" s="126">
        <v>11960</v>
      </c>
      <c r="F6" s="234" t="s">
        <v>348</v>
      </c>
      <c r="G6" s="235">
        <v>1382.4307999999999</v>
      </c>
      <c r="H6" s="113" t="s">
        <v>92</v>
      </c>
      <c r="K6" s="14" t="s">
        <v>88</v>
      </c>
      <c r="L6" s="121">
        <f t="shared" si="0"/>
        <v>-590925.52985759999</v>
      </c>
    </row>
    <row r="7" spans="1:14" x14ac:dyDescent="0.2">
      <c r="A7" s="244">
        <v>270</v>
      </c>
      <c r="B7" s="233" t="s">
        <v>331</v>
      </c>
      <c r="C7" s="233">
        <v>2210</v>
      </c>
      <c r="D7" s="109" t="s">
        <v>400</v>
      </c>
      <c r="E7" s="126">
        <v>12400</v>
      </c>
      <c r="F7" s="234" t="s">
        <v>350</v>
      </c>
      <c r="G7" s="235">
        <v>13824.307999999999</v>
      </c>
      <c r="H7" s="113" t="s">
        <v>92</v>
      </c>
      <c r="K7" s="14" t="s">
        <v>139</v>
      </c>
      <c r="L7" s="121">
        <f t="shared" si="0"/>
        <v>0</v>
      </c>
    </row>
    <row r="8" spans="1:14" x14ac:dyDescent="0.2">
      <c r="A8" s="244">
        <v>270</v>
      </c>
      <c r="B8" s="233" t="s">
        <v>331</v>
      </c>
      <c r="C8" s="233">
        <v>2210</v>
      </c>
      <c r="D8" s="109" t="s">
        <v>400</v>
      </c>
      <c r="E8" s="126">
        <v>13700</v>
      </c>
      <c r="F8" s="234" t="s">
        <v>360</v>
      </c>
      <c r="G8" s="235">
        <v>34950.2188866</v>
      </c>
      <c r="H8" s="113" t="s">
        <v>92</v>
      </c>
      <c r="K8" s="9" t="s">
        <v>146</v>
      </c>
      <c r="L8" s="121">
        <f t="shared" si="0"/>
        <v>0</v>
      </c>
    </row>
    <row r="9" spans="1:14" x14ac:dyDescent="0.2">
      <c r="A9" s="244">
        <v>270</v>
      </c>
      <c r="B9" s="233" t="s">
        <v>331</v>
      </c>
      <c r="C9" s="233">
        <v>2210</v>
      </c>
      <c r="D9" s="109" t="s">
        <v>400</v>
      </c>
      <c r="E9" s="126">
        <v>14290</v>
      </c>
      <c r="F9" s="234" t="s">
        <v>296</v>
      </c>
      <c r="G9" s="235">
        <v>39817.236488999995</v>
      </c>
      <c r="H9" s="113" t="s">
        <v>93</v>
      </c>
      <c r="K9" s="9" t="s">
        <v>155</v>
      </c>
      <c r="L9" s="121">
        <f t="shared" si="0"/>
        <v>313157.7318606</v>
      </c>
    </row>
    <row r="10" spans="1:14" x14ac:dyDescent="0.2">
      <c r="A10" s="244">
        <v>270</v>
      </c>
      <c r="B10" s="233" t="s">
        <v>331</v>
      </c>
      <c r="C10" s="233">
        <v>2210</v>
      </c>
      <c r="D10" s="109" t="s">
        <v>400</v>
      </c>
      <c r="E10" s="126">
        <v>17290</v>
      </c>
      <c r="F10" s="234" t="s">
        <v>297</v>
      </c>
      <c r="G10" s="235">
        <v>-39817.236488999995</v>
      </c>
      <c r="H10" s="113" t="s">
        <v>402</v>
      </c>
      <c r="K10" s="9" t="s">
        <v>231</v>
      </c>
      <c r="L10" s="31">
        <f t="shared" si="0"/>
        <v>369137.21612320002</v>
      </c>
    </row>
    <row r="11" spans="1:14" x14ac:dyDescent="0.2">
      <c r="A11" s="244">
        <v>272</v>
      </c>
      <c r="B11" s="233" t="s">
        <v>364</v>
      </c>
      <c r="C11" s="233">
        <v>2210</v>
      </c>
      <c r="D11" s="109" t="s">
        <v>400</v>
      </c>
      <c r="E11" s="126">
        <v>11800</v>
      </c>
      <c r="F11" s="234" t="s">
        <v>347</v>
      </c>
      <c r="G11" s="235">
        <v>72254.728757000004</v>
      </c>
      <c r="H11" s="113" t="s">
        <v>92</v>
      </c>
    </row>
    <row r="12" spans="1:14" x14ac:dyDescent="0.2">
      <c r="A12" s="244">
        <v>272</v>
      </c>
      <c r="B12" s="233" t="s">
        <v>364</v>
      </c>
      <c r="C12" s="233">
        <v>2210</v>
      </c>
      <c r="D12" s="109" t="s">
        <v>400</v>
      </c>
      <c r="E12" s="126">
        <v>11960</v>
      </c>
      <c r="F12" s="234" t="s">
        <v>348</v>
      </c>
      <c r="G12" s="235">
        <v>0</v>
      </c>
      <c r="H12" s="113" t="s">
        <v>92</v>
      </c>
    </row>
    <row r="13" spans="1:14" x14ac:dyDescent="0.2">
      <c r="A13" s="244">
        <v>272</v>
      </c>
      <c r="B13" s="233" t="s">
        <v>364</v>
      </c>
      <c r="C13" s="233">
        <v>2210</v>
      </c>
      <c r="D13" s="109" t="s">
        <v>400</v>
      </c>
      <c r="E13" s="126">
        <v>13700</v>
      </c>
      <c r="F13" s="234" t="s">
        <v>360</v>
      </c>
      <c r="G13" s="235">
        <v>17491.670284399996</v>
      </c>
      <c r="H13" s="113" t="s">
        <v>92</v>
      </c>
    </row>
    <row r="14" spans="1:14" x14ac:dyDescent="0.2">
      <c r="A14" s="244">
        <v>272</v>
      </c>
      <c r="B14" s="233" t="s">
        <v>364</v>
      </c>
      <c r="C14" s="233">
        <v>2210</v>
      </c>
      <c r="D14" s="109" t="s">
        <v>400</v>
      </c>
      <c r="E14" s="126">
        <v>14290</v>
      </c>
      <c r="F14" s="234" t="s">
        <v>296</v>
      </c>
      <c r="G14" s="235">
        <v>22436.6365874</v>
      </c>
      <c r="H14" s="113" t="s">
        <v>93</v>
      </c>
    </row>
    <row r="15" spans="1:14" x14ac:dyDescent="0.2">
      <c r="A15" s="244">
        <v>272</v>
      </c>
      <c r="B15" s="233" t="s">
        <v>364</v>
      </c>
      <c r="C15" s="233">
        <v>2210</v>
      </c>
      <c r="D15" s="109" t="s">
        <v>400</v>
      </c>
      <c r="E15" s="126">
        <v>17290</v>
      </c>
      <c r="F15" s="234" t="s">
        <v>297</v>
      </c>
      <c r="G15" s="235">
        <v>-22436.6365874</v>
      </c>
      <c r="H15" s="113" t="s">
        <v>402</v>
      </c>
      <c r="N15" s="264" t="s">
        <v>270</v>
      </c>
    </row>
    <row r="16" spans="1:14" x14ac:dyDescent="0.2">
      <c r="A16" s="244">
        <v>273</v>
      </c>
      <c r="B16" s="233" t="s">
        <v>369</v>
      </c>
      <c r="C16" s="233">
        <v>2210</v>
      </c>
      <c r="D16" s="109" t="s">
        <v>400</v>
      </c>
      <c r="E16" s="126">
        <v>11800</v>
      </c>
      <c r="F16" s="234" t="s">
        <v>347</v>
      </c>
      <c r="G16" s="235">
        <v>105703.84309139999</v>
      </c>
      <c r="H16" s="113" t="s">
        <v>92</v>
      </c>
      <c r="K16" s="7"/>
    </row>
    <row r="17" spans="1:12" x14ac:dyDescent="0.2">
      <c r="A17" s="244">
        <v>273</v>
      </c>
      <c r="B17" s="233" t="s">
        <v>369</v>
      </c>
      <c r="C17" s="233">
        <v>2210</v>
      </c>
      <c r="D17" s="109" t="s">
        <v>400</v>
      </c>
      <c r="E17" s="126">
        <v>11960</v>
      </c>
      <c r="F17" s="234" t="s">
        <v>348</v>
      </c>
      <c r="G17" s="235">
        <v>8209.7692709999992</v>
      </c>
      <c r="H17" s="113" t="s">
        <v>92</v>
      </c>
      <c r="K17" s="241" t="s">
        <v>91</v>
      </c>
      <c r="L17" s="243"/>
    </row>
    <row r="18" spans="1:12" x14ac:dyDescent="0.2">
      <c r="A18" s="244">
        <v>273</v>
      </c>
      <c r="B18" s="233" t="s">
        <v>369</v>
      </c>
      <c r="C18" s="233">
        <v>2210</v>
      </c>
      <c r="D18" s="109" t="s">
        <v>400</v>
      </c>
      <c r="E18" s="126">
        <v>13700</v>
      </c>
      <c r="F18" s="234" t="s">
        <v>360</v>
      </c>
      <c r="G18" s="235">
        <v>37656.281852000007</v>
      </c>
      <c r="H18" s="113" t="s">
        <v>92</v>
      </c>
      <c r="K18" s="241" t="s">
        <v>85</v>
      </c>
      <c r="L18" t="s">
        <v>106</v>
      </c>
    </row>
    <row r="19" spans="1:12" x14ac:dyDescent="0.2">
      <c r="A19" s="244">
        <v>273</v>
      </c>
      <c r="B19" s="233" t="s">
        <v>369</v>
      </c>
      <c r="C19" s="233">
        <v>2210</v>
      </c>
      <c r="D19" s="109" t="s">
        <v>400</v>
      </c>
      <c r="E19" s="126">
        <v>14290</v>
      </c>
      <c r="F19" s="234" t="s">
        <v>296</v>
      </c>
      <c r="G19" s="235">
        <v>37892.496216400003</v>
      </c>
      <c r="H19" s="113" t="s">
        <v>93</v>
      </c>
      <c r="K19" t="s">
        <v>142</v>
      </c>
      <c r="L19" s="243">
        <v>2542320.1560959998</v>
      </c>
    </row>
    <row r="20" spans="1:12" x14ac:dyDescent="0.2">
      <c r="A20" s="244">
        <v>273</v>
      </c>
      <c r="B20" s="233" t="s">
        <v>369</v>
      </c>
      <c r="C20" s="233">
        <v>2210</v>
      </c>
      <c r="D20" s="109" t="s">
        <v>400</v>
      </c>
      <c r="E20" s="126">
        <v>17290</v>
      </c>
      <c r="F20" s="234" t="s">
        <v>297</v>
      </c>
      <c r="G20" s="235">
        <v>-37892.496216400003</v>
      </c>
      <c r="H20" s="113" t="s">
        <v>402</v>
      </c>
      <c r="K20" t="s">
        <v>92</v>
      </c>
      <c r="L20" s="243">
        <v>2471207.6891160002</v>
      </c>
    </row>
    <row r="21" spans="1:12" x14ac:dyDescent="0.2">
      <c r="A21" s="244">
        <v>274</v>
      </c>
      <c r="B21" s="233" t="s">
        <v>375</v>
      </c>
      <c r="C21" s="233">
        <v>2210</v>
      </c>
      <c r="D21" s="109" t="s">
        <v>400</v>
      </c>
      <c r="E21" s="126">
        <v>11201</v>
      </c>
      <c r="F21" s="234" t="s">
        <v>403</v>
      </c>
      <c r="G21" s="235">
        <v>962.03585999999996</v>
      </c>
      <c r="H21" s="113" t="s">
        <v>92</v>
      </c>
      <c r="K21" t="s">
        <v>93</v>
      </c>
      <c r="L21" s="243">
        <v>592398.61185760004</v>
      </c>
    </row>
    <row r="22" spans="1:12" x14ac:dyDescent="0.2">
      <c r="A22" s="244">
        <v>274</v>
      </c>
      <c r="B22" s="233" t="s">
        <v>375</v>
      </c>
      <c r="C22" s="233">
        <v>2210</v>
      </c>
      <c r="D22" s="109" t="s">
        <v>400</v>
      </c>
      <c r="E22" s="126">
        <v>11800</v>
      </c>
      <c r="F22" s="234" t="s">
        <v>347</v>
      </c>
      <c r="G22" s="235">
        <v>160204.5116656</v>
      </c>
      <c r="H22" s="113" t="s">
        <v>92</v>
      </c>
      <c r="K22" t="s">
        <v>89</v>
      </c>
      <c r="L22" s="243">
        <v>-203797.34797179996</v>
      </c>
    </row>
    <row r="23" spans="1:12" x14ac:dyDescent="0.2">
      <c r="A23" s="244">
        <v>274</v>
      </c>
      <c r="B23" s="233" t="s">
        <v>375</v>
      </c>
      <c r="C23" s="233">
        <v>2210</v>
      </c>
      <c r="D23" s="109" t="s">
        <v>400</v>
      </c>
      <c r="E23" s="126">
        <v>11960</v>
      </c>
      <c r="F23" s="234" t="s">
        <v>348</v>
      </c>
      <c r="G23" s="235">
        <v>691.21539999999993</v>
      </c>
      <c r="H23" s="113" t="s">
        <v>92</v>
      </c>
      <c r="K23" t="s">
        <v>402</v>
      </c>
      <c r="L23" s="243">
        <v>-590925.52985759999</v>
      </c>
    </row>
    <row r="24" spans="1:12" x14ac:dyDescent="0.2">
      <c r="A24" s="244">
        <v>274</v>
      </c>
      <c r="B24" s="233" t="s">
        <v>375</v>
      </c>
      <c r="C24" s="233">
        <v>2210</v>
      </c>
      <c r="D24" s="109" t="s">
        <v>400</v>
      </c>
      <c r="E24" s="126">
        <v>13700</v>
      </c>
      <c r="F24" s="234" t="s">
        <v>360</v>
      </c>
      <c r="G24" s="235">
        <v>37912.03155</v>
      </c>
      <c r="H24" s="113" t="s">
        <v>92</v>
      </c>
      <c r="K24" t="s">
        <v>155</v>
      </c>
      <c r="L24" s="243">
        <v>313157.7318606</v>
      </c>
    </row>
    <row r="25" spans="1:12" x14ac:dyDescent="0.2">
      <c r="A25" s="244">
        <v>274</v>
      </c>
      <c r="B25" s="233" t="s">
        <v>375</v>
      </c>
      <c r="C25" s="233">
        <v>2210</v>
      </c>
      <c r="D25" s="109" t="s">
        <v>400</v>
      </c>
      <c r="E25" s="126">
        <v>14290</v>
      </c>
      <c r="F25" s="234" t="s">
        <v>296</v>
      </c>
      <c r="G25" s="235">
        <v>49942.476947399999</v>
      </c>
      <c r="H25" s="113" t="s">
        <v>93</v>
      </c>
      <c r="K25" t="s">
        <v>231</v>
      </c>
      <c r="L25" s="243">
        <v>369137.21612320002</v>
      </c>
    </row>
    <row r="26" spans="1:12" x14ac:dyDescent="0.2">
      <c r="A26" s="244">
        <v>274</v>
      </c>
      <c r="B26" s="233" t="s">
        <v>375</v>
      </c>
      <c r="C26" s="233">
        <v>2210</v>
      </c>
      <c r="D26" s="109" t="s">
        <v>400</v>
      </c>
      <c r="E26" s="126">
        <v>17290</v>
      </c>
      <c r="F26" s="234" t="s">
        <v>297</v>
      </c>
      <c r="G26" s="235">
        <v>-49942.476947399999</v>
      </c>
      <c r="H26" s="113" t="s">
        <v>402</v>
      </c>
      <c r="K26" t="s">
        <v>94</v>
      </c>
      <c r="L26" s="243">
        <v>2978410.89812</v>
      </c>
    </row>
    <row r="27" spans="1:12" x14ac:dyDescent="0.2">
      <c r="A27" s="244">
        <v>276</v>
      </c>
      <c r="B27" s="233" t="s">
        <v>379</v>
      </c>
      <c r="C27" s="233">
        <v>2210</v>
      </c>
      <c r="D27" s="109" t="s">
        <v>400</v>
      </c>
      <c r="E27" s="126">
        <v>11800</v>
      </c>
      <c r="F27" s="234" t="s">
        <v>347</v>
      </c>
      <c r="G27" s="235">
        <v>74398.312357800009</v>
      </c>
      <c r="H27" s="113" t="s">
        <v>92</v>
      </c>
      <c r="K27" t="s">
        <v>246</v>
      </c>
      <c r="L27" s="243"/>
    </row>
    <row r="28" spans="1:12" x14ac:dyDescent="0.2">
      <c r="A28" s="244">
        <v>276</v>
      </c>
      <c r="B28" s="233" t="s">
        <v>379</v>
      </c>
      <c r="C28" s="233">
        <v>2210</v>
      </c>
      <c r="D28" s="109" t="s">
        <v>400</v>
      </c>
      <c r="E28" s="126">
        <v>11960</v>
      </c>
      <c r="F28" s="234" t="s">
        <v>348</v>
      </c>
      <c r="G28" s="235">
        <v>4657.3753709999992</v>
      </c>
      <c r="H28" s="113" t="s">
        <v>92</v>
      </c>
      <c r="K28" t="s">
        <v>99</v>
      </c>
      <c r="L28" s="243">
        <v>8471909.4253440015</v>
      </c>
    </row>
    <row r="29" spans="1:12" x14ac:dyDescent="0.2">
      <c r="A29" s="244">
        <v>276</v>
      </c>
      <c r="B29" s="233" t="s">
        <v>379</v>
      </c>
      <c r="C29" s="233">
        <v>2210</v>
      </c>
      <c r="D29" s="109" t="s">
        <v>400</v>
      </c>
      <c r="E29" s="126">
        <v>13700</v>
      </c>
      <c r="F29" s="234" t="s">
        <v>360</v>
      </c>
      <c r="G29" s="235">
        <v>15448.834161000001</v>
      </c>
      <c r="H29" s="113" t="s">
        <v>92</v>
      </c>
    </row>
    <row r="30" spans="1:12" x14ac:dyDescent="0.2">
      <c r="A30" s="244">
        <v>276</v>
      </c>
      <c r="B30" s="233" t="s">
        <v>379</v>
      </c>
      <c r="C30" s="233">
        <v>2210</v>
      </c>
      <c r="D30" s="109" t="s">
        <v>400</v>
      </c>
      <c r="E30" s="126">
        <v>14290</v>
      </c>
      <c r="F30" s="234" t="s">
        <v>296</v>
      </c>
      <c r="G30" s="235">
        <v>23626.150302400001</v>
      </c>
      <c r="H30" s="113" t="s">
        <v>93</v>
      </c>
    </row>
    <row r="31" spans="1:12" x14ac:dyDescent="0.2">
      <c r="A31" s="244">
        <v>276</v>
      </c>
      <c r="B31" s="233" t="s">
        <v>379</v>
      </c>
      <c r="C31" s="233">
        <v>2210</v>
      </c>
      <c r="D31" s="109" t="s">
        <v>400</v>
      </c>
      <c r="E31" s="126">
        <v>17290</v>
      </c>
      <c r="F31" s="234" t="s">
        <v>297</v>
      </c>
      <c r="G31" s="235">
        <v>-23626.150302400001</v>
      </c>
      <c r="H31" s="113" t="s">
        <v>402</v>
      </c>
    </row>
    <row r="32" spans="1:12" x14ac:dyDescent="0.2">
      <c r="A32" s="244">
        <v>277</v>
      </c>
      <c r="B32" s="233" t="s">
        <v>382</v>
      </c>
      <c r="C32" s="233">
        <v>2210</v>
      </c>
      <c r="D32" s="109" t="s">
        <v>400</v>
      </c>
      <c r="E32" s="126">
        <v>11800</v>
      </c>
      <c r="F32" s="234" t="s">
        <v>347</v>
      </c>
      <c r="G32" s="235">
        <v>123408.7703238</v>
      </c>
      <c r="H32" s="113" t="s">
        <v>92</v>
      </c>
    </row>
    <row r="33" spans="1:8" x14ac:dyDescent="0.2">
      <c r="A33" s="244">
        <v>277</v>
      </c>
      <c r="B33" s="233" t="s">
        <v>382</v>
      </c>
      <c r="C33" s="233">
        <v>2210</v>
      </c>
      <c r="D33" s="109" t="s">
        <v>400</v>
      </c>
      <c r="E33" s="126">
        <v>11960</v>
      </c>
      <c r="F33" s="234" t="s">
        <v>348</v>
      </c>
      <c r="G33" s="235">
        <v>0</v>
      </c>
      <c r="H33" s="113" t="s">
        <v>92</v>
      </c>
    </row>
    <row r="34" spans="1:8" x14ac:dyDescent="0.2">
      <c r="A34" s="244">
        <v>277</v>
      </c>
      <c r="B34" s="233" t="s">
        <v>382</v>
      </c>
      <c r="C34" s="233">
        <v>2210</v>
      </c>
      <c r="D34" s="109" t="s">
        <v>400</v>
      </c>
      <c r="E34" s="126">
        <v>13700</v>
      </c>
      <c r="F34" s="234" t="s">
        <v>360</v>
      </c>
      <c r="G34" s="235">
        <v>27214.906665000002</v>
      </c>
      <c r="H34" s="113" t="s">
        <v>92</v>
      </c>
    </row>
    <row r="35" spans="1:8" x14ac:dyDescent="0.2">
      <c r="A35" s="244">
        <v>277</v>
      </c>
      <c r="B35" s="233" t="s">
        <v>382</v>
      </c>
      <c r="C35" s="233">
        <v>2210</v>
      </c>
      <c r="D35" s="109" t="s">
        <v>400</v>
      </c>
      <c r="E35" s="126">
        <v>14290</v>
      </c>
      <c r="F35" s="234" t="s">
        <v>296</v>
      </c>
      <c r="G35" s="235">
        <v>37655.941910000001</v>
      </c>
      <c r="H35" s="113" t="s">
        <v>93</v>
      </c>
    </row>
    <row r="36" spans="1:8" x14ac:dyDescent="0.2">
      <c r="A36" s="244">
        <v>277</v>
      </c>
      <c r="B36" s="233" t="s">
        <v>382</v>
      </c>
      <c r="C36" s="233">
        <v>2210</v>
      </c>
      <c r="D36" s="109" t="s">
        <v>400</v>
      </c>
      <c r="E36" s="126">
        <v>17290</v>
      </c>
      <c r="F36" s="234" t="s">
        <v>297</v>
      </c>
      <c r="G36" s="235">
        <v>-37655.941910000001</v>
      </c>
      <c r="H36" s="113" t="s">
        <v>402</v>
      </c>
    </row>
    <row r="37" spans="1:8" x14ac:dyDescent="0.2">
      <c r="A37" s="244">
        <v>279</v>
      </c>
      <c r="B37" s="233" t="s">
        <v>386</v>
      </c>
      <c r="C37" s="233">
        <v>2210</v>
      </c>
      <c r="D37" s="109" t="s">
        <v>400</v>
      </c>
      <c r="E37" s="126">
        <v>11800</v>
      </c>
      <c r="F37" s="234" t="s">
        <v>347</v>
      </c>
      <c r="G37" s="235">
        <v>143095.58207900001</v>
      </c>
      <c r="H37" s="113" t="s">
        <v>92</v>
      </c>
    </row>
    <row r="38" spans="1:8" x14ac:dyDescent="0.2">
      <c r="A38" s="244">
        <v>279</v>
      </c>
      <c r="B38" s="233" t="s">
        <v>386</v>
      </c>
      <c r="C38" s="233">
        <v>2210</v>
      </c>
      <c r="D38" s="109" t="s">
        <v>400</v>
      </c>
      <c r="E38" s="126">
        <v>11960</v>
      </c>
      <c r="F38" s="234" t="s">
        <v>348</v>
      </c>
      <c r="G38" s="235">
        <v>7887.7875399999994</v>
      </c>
      <c r="H38" s="113" t="s">
        <v>92</v>
      </c>
    </row>
    <row r="39" spans="1:8" x14ac:dyDescent="0.2">
      <c r="A39" s="244">
        <v>279</v>
      </c>
      <c r="B39" s="233" t="s">
        <v>386</v>
      </c>
      <c r="C39" s="233">
        <v>2210</v>
      </c>
      <c r="D39" s="109" t="s">
        <v>400</v>
      </c>
      <c r="E39" s="126">
        <v>13700</v>
      </c>
      <c r="F39" s="234" t="s">
        <v>360</v>
      </c>
      <c r="G39" s="235">
        <v>33757.940309999998</v>
      </c>
      <c r="H39" s="113" t="s">
        <v>92</v>
      </c>
    </row>
    <row r="40" spans="1:8" x14ac:dyDescent="0.2">
      <c r="A40" s="244">
        <v>279</v>
      </c>
      <c r="B40" s="233" t="s">
        <v>386</v>
      </c>
      <c r="C40" s="233">
        <v>2210</v>
      </c>
      <c r="D40" s="109" t="s">
        <v>400</v>
      </c>
      <c r="E40" s="126">
        <v>14290</v>
      </c>
      <c r="F40" s="234" t="s">
        <v>296</v>
      </c>
      <c r="G40" s="235">
        <v>46185.358643600004</v>
      </c>
      <c r="H40" s="113" t="s">
        <v>93</v>
      </c>
    </row>
    <row r="41" spans="1:8" x14ac:dyDescent="0.2">
      <c r="A41" s="244">
        <v>279</v>
      </c>
      <c r="B41" s="233" t="s">
        <v>386</v>
      </c>
      <c r="C41" s="233">
        <v>2210</v>
      </c>
      <c r="D41" s="109" t="s">
        <v>400</v>
      </c>
      <c r="E41" s="126">
        <v>17290</v>
      </c>
      <c r="F41" s="234" t="s">
        <v>297</v>
      </c>
      <c r="G41" s="235">
        <v>-46185.358643600004</v>
      </c>
      <c r="H41" s="113" t="s">
        <v>402</v>
      </c>
    </row>
    <row r="42" spans="1:8" x14ac:dyDescent="0.2">
      <c r="A42" s="244">
        <v>440</v>
      </c>
      <c r="B42" s="233" t="s">
        <v>404</v>
      </c>
      <c r="C42" s="233">
        <v>2210</v>
      </c>
      <c r="D42" s="109" t="s">
        <v>400</v>
      </c>
      <c r="E42" s="126">
        <v>10100</v>
      </c>
      <c r="F42" s="234" t="s">
        <v>306</v>
      </c>
      <c r="G42" s="235">
        <v>462157.81186320004</v>
      </c>
      <c r="H42" s="113" t="s">
        <v>142</v>
      </c>
    </row>
    <row r="43" spans="1:8" x14ac:dyDescent="0.2">
      <c r="A43" s="244">
        <v>440</v>
      </c>
      <c r="B43" s="233" t="s">
        <v>404</v>
      </c>
      <c r="C43" s="233">
        <v>2210</v>
      </c>
      <c r="D43" s="109" t="s">
        <v>400</v>
      </c>
      <c r="E43" s="126">
        <v>10910</v>
      </c>
      <c r="F43" s="234" t="s">
        <v>301</v>
      </c>
      <c r="G43" s="235">
        <v>59689.327965600001</v>
      </c>
      <c r="H43" s="113" t="s">
        <v>155</v>
      </c>
    </row>
    <row r="44" spans="1:8" x14ac:dyDescent="0.2">
      <c r="A44" s="244">
        <v>440</v>
      </c>
      <c r="B44" s="233" t="s">
        <v>404</v>
      </c>
      <c r="C44" s="233">
        <v>2210</v>
      </c>
      <c r="D44" s="109" t="s">
        <v>400</v>
      </c>
      <c r="E44" s="126">
        <v>10990</v>
      </c>
      <c r="F44" s="234" t="s">
        <v>84</v>
      </c>
      <c r="G44" s="235">
        <v>73579.53938799999</v>
      </c>
      <c r="H44" s="113" t="s">
        <v>231</v>
      </c>
    </row>
    <row r="45" spans="1:8" x14ac:dyDescent="0.2">
      <c r="A45" s="244">
        <v>440</v>
      </c>
      <c r="B45" s="233" t="s">
        <v>404</v>
      </c>
      <c r="C45" s="233">
        <v>2210</v>
      </c>
      <c r="D45" s="109" t="s">
        <v>400</v>
      </c>
      <c r="E45" s="126">
        <v>11300</v>
      </c>
      <c r="F45" s="234" t="s">
        <v>312</v>
      </c>
      <c r="G45" s="235">
        <v>1431.3824480000001</v>
      </c>
      <c r="H45" s="113" t="s">
        <v>92</v>
      </c>
    </row>
    <row r="46" spans="1:8" x14ac:dyDescent="0.2">
      <c r="A46" s="244">
        <v>440</v>
      </c>
      <c r="B46" s="233" t="s">
        <v>404</v>
      </c>
      <c r="C46" s="233">
        <v>2210</v>
      </c>
      <c r="D46" s="109" t="s">
        <v>400</v>
      </c>
      <c r="E46" s="126">
        <v>11800</v>
      </c>
      <c r="F46" s="234" t="s">
        <v>347</v>
      </c>
      <c r="G46" s="235">
        <v>72698.862980000005</v>
      </c>
      <c r="H46" s="113" t="s">
        <v>92</v>
      </c>
    </row>
    <row r="47" spans="1:8" x14ac:dyDescent="0.2">
      <c r="A47" s="244">
        <v>440</v>
      </c>
      <c r="B47" s="233" t="s">
        <v>404</v>
      </c>
      <c r="C47" s="233">
        <v>2210</v>
      </c>
      <c r="D47" s="109" t="s">
        <v>400</v>
      </c>
      <c r="E47" s="126">
        <v>11950</v>
      </c>
      <c r="F47" s="234" t="s">
        <v>405</v>
      </c>
      <c r="G47" s="235">
        <v>14239.037240000001</v>
      </c>
      <c r="H47" s="113" t="s">
        <v>92</v>
      </c>
    </row>
    <row r="48" spans="1:8" x14ac:dyDescent="0.2">
      <c r="A48" s="244">
        <v>440</v>
      </c>
      <c r="B48" s="233" t="s">
        <v>404</v>
      </c>
      <c r="C48" s="233">
        <v>2210</v>
      </c>
      <c r="D48" s="109" t="s">
        <v>400</v>
      </c>
      <c r="E48" s="126">
        <v>11990</v>
      </c>
      <c r="F48" s="234" t="s">
        <v>349</v>
      </c>
      <c r="G48" s="235">
        <v>2886.1075799999999</v>
      </c>
      <c r="H48" s="113" t="s">
        <v>92</v>
      </c>
    </row>
    <row r="49" spans="1:8" x14ac:dyDescent="0.2">
      <c r="A49" s="244">
        <v>440</v>
      </c>
      <c r="B49" s="233" t="s">
        <v>404</v>
      </c>
      <c r="C49" s="233">
        <v>2210</v>
      </c>
      <c r="D49" s="109" t="s">
        <v>400</v>
      </c>
      <c r="E49" s="126">
        <v>12300</v>
      </c>
      <c r="F49" s="234" t="s">
        <v>406</v>
      </c>
      <c r="G49" s="235">
        <v>446072.20967920008</v>
      </c>
      <c r="H49" s="113" t="s">
        <v>92</v>
      </c>
    </row>
    <row r="50" spans="1:8" x14ac:dyDescent="0.2">
      <c r="A50" s="244">
        <v>440</v>
      </c>
      <c r="B50" s="233" t="s">
        <v>404</v>
      </c>
      <c r="C50" s="233">
        <v>2210</v>
      </c>
      <c r="D50" s="109" t="s">
        <v>400</v>
      </c>
      <c r="E50" s="126">
        <v>12400</v>
      </c>
      <c r="F50" s="234" t="s">
        <v>350</v>
      </c>
      <c r="G50" s="235">
        <v>289830.469896</v>
      </c>
      <c r="H50" s="113" t="s">
        <v>92</v>
      </c>
    </row>
    <row r="51" spans="1:8" x14ac:dyDescent="0.2">
      <c r="A51" s="244">
        <v>440</v>
      </c>
      <c r="B51" s="233" t="s">
        <v>404</v>
      </c>
      <c r="C51" s="233">
        <v>2210</v>
      </c>
      <c r="D51" s="109" t="s">
        <v>400</v>
      </c>
      <c r="E51" s="126">
        <v>14290</v>
      </c>
      <c r="F51" s="234" t="s">
        <v>296</v>
      </c>
      <c r="G51" s="235">
        <v>184199.81631720002</v>
      </c>
      <c r="H51" s="113" t="s">
        <v>93</v>
      </c>
    </row>
    <row r="52" spans="1:8" x14ac:dyDescent="0.2">
      <c r="A52" s="244">
        <v>440</v>
      </c>
      <c r="B52" s="233" t="s">
        <v>404</v>
      </c>
      <c r="C52" s="233">
        <v>2210</v>
      </c>
      <c r="D52" s="109" t="s">
        <v>400</v>
      </c>
      <c r="E52" s="126">
        <v>17290</v>
      </c>
      <c r="F52" s="234" t="s">
        <v>297</v>
      </c>
      <c r="G52" s="235">
        <v>-182726.73431720003</v>
      </c>
      <c r="H52" s="113" t="s">
        <v>402</v>
      </c>
    </row>
    <row r="53" spans="1:8" x14ac:dyDescent="0.2">
      <c r="A53" s="244">
        <v>441</v>
      </c>
      <c r="B53" s="233" t="s">
        <v>407</v>
      </c>
      <c r="C53" s="233">
        <v>2210</v>
      </c>
      <c r="D53" s="109" t="s">
        <v>400</v>
      </c>
      <c r="E53" s="126">
        <v>10100</v>
      </c>
      <c r="F53" s="234" t="s">
        <v>306</v>
      </c>
      <c r="G53" s="235">
        <v>1850144.0800040001</v>
      </c>
      <c r="H53" s="113" t="s">
        <v>142</v>
      </c>
    </row>
    <row r="54" spans="1:8" x14ac:dyDescent="0.2">
      <c r="A54" s="244">
        <v>441</v>
      </c>
      <c r="B54" s="233" t="s">
        <v>407</v>
      </c>
      <c r="C54" s="233">
        <v>2210</v>
      </c>
      <c r="D54" s="109" t="s">
        <v>400</v>
      </c>
      <c r="E54" s="126">
        <v>10200</v>
      </c>
      <c r="F54" s="234" t="s">
        <v>325</v>
      </c>
      <c r="G54" s="235">
        <v>230018.26422880002</v>
      </c>
      <c r="H54" s="113" t="s">
        <v>142</v>
      </c>
    </row>
    <row r="55" spans="1:8" x14ac:dyDescent="0.2">
      <c r="A55" s="244">
        <v>441</v>
      </c>
      <c r="B55" s="233" t="s">
        <v>407</v>
      </c>
      <c r="C55" s="233">
        <v>2210</v>
      </c>
      <c r="D55" s="109" t="s">
        <v>400</v>
      </c>
      <c r="E55" s="126">
        <v>10500</v>
      </c>
      <c r="F55" s="234" t="s">
        <v>334</v>
      </c>
      <c r="G55" s="235">
        <v>0</v>
      </c>
      <c r="H55" s="113" t="s">
        <v>142</v>
      </c>
    </row>
    <row r="56" spans="1:8" x14ac:dyDescent="0.2">
      <c r="A56" s="244">
        <v>441</v>
      </c>
      <c r="B56" s="233" t="s">
        <v>407</v>
      </c>
      <c r="C56" s="233">
        <v>2210</v>
      </c>
      <c r="D56" s="109" t="s">
        <v>400</v>
      </c>
      <c r="E56" s="126">
        <v>10910</v>
      </c>
      <c r="F56" s="234" t="s">
        <v>301</v>
      </c>
      <c r="G56" s="235">
        <v>253468.403895</v>
      </c>
      <c r="H56" s="113" t="s">
        <v>155</v>
      </c>
    </row>
    <row r="57" spans="1:8" x14ac:dyDescent="0.2">
      <c r="A57" s="244">
        <v>441</v>
      </c>
      <c r="B57" s="233" t="s">
        <v>407</v>
      </c>
      <c r="C57" s="233">
        <v>2210</v>
      </c>
      <c r="D57" s="109" t="s">
        <v>400</v>
      </c>
      <c r="E57" s="126">
        <v>10990</v>
      </c>
      <c r="F57" s="234" t="s">
        <v>84</v>
      </c>
      <c r="G57" s="235">
        <v>295557.67673520005</v>
      </c>
      <c r="H57" s="113" t="s">
        <v>231</v>
      </c>
    </row>
    <row r="58" spans="1:8" x14ac:dyDescent="0.2">
      <c r="A58" s="244">
        <v>441</v>
      </c>
      <c r="B58" s="233" t="s">
        <v>407</v>
      </c>
      <c r="C58" s="233">
        <v>2210</v>
      </c>
      <c r="D58" s="109" t="s">
        <v>400</v>
      </c>
      <c r="E58" s="126">
        <v>11200</v>
      </c>
      <c r="F58" s="234" t="s">
        <v>311</v>
      </c>
      <c r="G58" s="235">
        <v>2190.529591</v>
      </c>
      <c r="H58" s="113" t="s">
        <v>92</v>
      </c>
    </row>
    <row r="59" spans="1:8" x14ac:dyDescent="0.2">
      <c r="A59" s="244">
        <v>441</v>
      </c>
      <c r="B59" s="233" t="s">
        <v>407</v>
      </c>
      <c r="C59" s="233">
        <v>2210</v>
      </c>
      <c r="D59" s="109" t="s">
        <v>400</v>
      </c>
      <c r="E59" s="126">
        <v>11210</v>
      </c>
      <c r="F59" s="234" t="s">
        <v>339</v>
      </c>
      <c r="G59" s="235">
        <v>2266.2800000000002</v>
      </c>
      <c r="H59" s="113" t="s">
        <v>92</v>
      </c>
    </row>
    <row r="60" spans="1:8" x14ac:dyDescent="0.2">
      <c r="A60" s="244">
        <v>441</v>
      </c>
      <c r="B60" s="233" t="s">
        <v>407</v>
      </c>
      <c r="C60" s="233">
        <v>2210</v>
      </c>
      <c r="D60" s="109" t="s">
        <v>400</v>
      </c>
      <c r="E60" s="126">
        <v>11250</v>
      </c>
      <c r="F60" s="234" t="s">
        <v>370</v>
      </c>
      <c r="G60" s="235">
        <v>165871.03885780001</v>
      </c>
      <c r="H60" s="113" t="s">
        <v>92</v>
      </c>
    </row>
    <row r="61" spans="1:8" x14ac:dyDescent="0.2">
      <c r="A61" s="244">
        <v>441</v>
      </c>
      <c r="B61" s="233" t="s">
        <v>407</v>
      </c>
      <c r="C61" s="233">
        <v>2210</v>
      </c>
      <c r="D61" s="109" t="s">
        <v>400</v>
      </c>
      <c r="E61" s="126">
        <v>11260</v>
      </c>
      <c r="F61" s="234" t="s">
        <v>371</v>
      </c>
      <c r="G61" s="235">
        <v>2017.895712</v>
      </c>
      <c r="H61" s="113" t="s">
        <v>92</v>
      </c>
    </row>
    <row r="62" spans="1:8" x14ac:dyDescent="0.2">
      <c r="A62" s="244">
        <v>441</v>
      </c>
      <c r="B62" s="233" t="s">
        <v>407</v>
      </c>
      <c r="C62" s="233">
        <v>2210</v>
      </c>
      <c r="D62" s="109" t="s">
        <v>400</v>
      </c>
      <c r="E62" s="126">
        <v>12300</v>
      </c>
      <c r="F62" s="234" t="s">
        <v>406</v>
      </c>
      <c r="G62" s="235">
        <v>44487.076399999998</v>
      </c>
      <c r="H62" s="113" t="s">
        <v>92</v>
      </c>
    </row>
    <row r="63" spans="1:8" x14ac:dyDescent="0.2">
      <c r="A63" s="244">
        <v>441</v>
      </c>
      <c r="B63" s="233" t="s">
        <v>407</v>
      </c>
      <c r="C63" s="233">
        <v>2210</v>
      </c>
      <c r="D63" s="109" t="s">
        <v>400</v>
      </c>
      <c r="E63" s="126">
        <v>12400</v>
      </c>
      <c r="F63" s="234" t="s">
        <v>350</v>
      </c>
      <c r="G63" s="235">
        <v>2712.1026016000001</v>
      </c>
      <c r="H63" s="113" t="s">
        <v>92</v>
      </c>
    </row>
    <row r="64" spans="1:8" x14ac:dyDescent="0.2">
      <c r="A64" s="244">
        <v>441</v>
      </c>
      <c r="B64" s="233" t="s">
        <v>407</v>
      </c>
      <c r="C64" s="233">
        <v>2210</v>
      </c>
      <c r="D64" s="109" t="s">
        <v>400</v>
      </c>
      <c r="E64" s="126">
        <v>12600</v>
      </c>
      <c r="F64" s="234" t="s">
        <v>408</v>
      </c>
      <c r="G64" s="235">
        <v>384457.51821399992</v>
      </c>
      <c r="H64" s="113" t="s">
        <v>92</v>
      </c>
    </row>
    <row r="65" spans="1:8" x14ac:dyDescent="0.2">
      <c r="A65" s="244">
        <v>441</v>
      </c>
      <c r="B65" s="233" t="s">
        <v>407</v>
      </c>
      <c r="C65" s="233">
        <v>2210</v>
      </c>
      <c r="D65" s="109" t="s">
        <v>400</v>
      </c>
      <c r="E65" s="126">
        <v>14290</v>
      </c>
      <c r="F65" s="234" t="s">
        <v>296</v>
      </c>
      <c r="G65" s="235">
        <v>149886.46743619998</v>
      </c>
      <c r="H65" s="113" t="s">
        <v>93</v>
      </c>
    </row>
    <row r="66" spans="1:8" x14ac:dyDescent="0.2">
      <c r="A66" s="244">
        <v>441</v>
      </c>
      <c r="B66" s="233" t="s">
        <v>407</v>
      </c>
      <c r="C66" s="233">
        <v>2210</v>
      </c>
      <c r="D66" s="109" t="s">
        <v>400</v>
      </c>
      <c r="E66" s="126">
        <v>17100</v>
      </c>
      <c r="F66" s="234" t="s">
        <v>328</v>
      </c>
      <c r="G66" s="235">
        <v>-199344.59502199996</v>
      </c>
      <c r="H66" s="113" t="s">
        <v>89</v>
      </c>
    </row>
    <row r="67" spans="1:8" x14ac:dyDescent="0.2">
      <c r="A67" s="244">
        <v>441</v>
      </c>
      <c r="B67" s="233" t="s">
        <v>407</v>
      </c>
      <c r="C67" s="233">
        <v>2210</v>
      </c>
      <c r="D67" s="109" t="s">
        <v>400</v>
      </c>
      <c r="E67" s="126">
        <v>17110</v>
      </c>
      <c r="F67" s="234" t="s">
        <v>329</v>
      </c>
      <c r="G67" s="235">
        <v>-4452.7529498000004</v>
      </c>
      <c r="H67" s="113" t="s">
        <v>89</v>
      </c>
    </row>
    <row r="68" spans="1:8" x14ac:dyDescent="0.2">
      <c r="A68" s="244">
        <v>441</v>
      </c>
      <c r="B68" s="233" t="s">
        <v>407</v>
      </c>
      <c r="C68" s="233">
        <v>2210</v>
      </c>
      <c r="D68" s="109" t="s">
        <v>400</v>
      </c>
      <c r="E68" s="126">
        <v>17290</v>
      </c>
      <c r="F68" s="234" t="s">
        <v>297</v>
      </c>
      <c r="G68" s="235">
        <v>-149886.46743619998</v>
      </c>
      <c r="H68" s="113" t="s">
        <v>402</v>
      </c>
    </row>
    <row r="69" spans="1:8" x14ac:dyDescent="0.2">
      <c r="A69" s="244">
        <v>480</v>
      </c>
      <c r="B69" s="233" t="s">
        <v>409</v>
      </c>
      <c r="C69" s="233">
        <v>2210</v>
      </c>
      <c r="D69" s="109" t="s">
        <v>400</v>
      </c>
      <c r="E69" s="126">
        <v>12300</v>
      </c>
      <c r="F69" s="234" t="s">
        <v>406</v>
      </c>
      <c r="G69" s="235">
        <v>3024.1240320000002</v>
      </c>
      <c r="H69" s="113" t="s">
        <v>92</v>
      </c>
    </row>
    <row r="70" spans="1:8" x14ac:dyDescent="0.2">
      <c r="A70" s="244">
        <v>480</v>
      </c>
      <c r="B70" s="233" t="s">
        <v>409</v>
      </c>
      <c r="C70" s="233">
        <v>2210</v>
      </c>
      <c r="D70" s="109" t="s">
        <v>400</v>
      </c>
      <c r="E70" s="126">
        <v>14290</v>
      </c>
      <c r="F70" s="234" t="s">
        <v>296</v>
      </c>
      <c r="G70" s="235">
        <v>756.03100800000004</v>
      </c>
      <c r="H70" s="113" t="s">
        <v>93</v>
      </c>
    </row>
    <row r="71" spans="1:8" x14ac:dyDescent="0.2">
      <c r="A71" s="244">
        <v>480</v>
      </c>
      <c r="B71" s="233" t="s">
        <v>409</v>
      </c>
      <c r="C71" s="233">
        <v>2210</v>
      </c>
      <c r="D71" s="109" t="s">
        <v>400</v>
      </c>
      <c r="E71" s="126">
        <v>17290</v>
      </c>
      <c r="F71" s="234" t="s">
        <v>297</v>
      </c>
      <c r="G71" s="235">
        <v>-756.03100800000004</v>
      </c>
      <c r="H71" s="113" t="s">
        <v>402</v>
      </c>
    </row>
    <row r="72" spans="1:8" x14ac:dyDescent="0.2">
      <c r="A72" s="125">
        <v>900</v>
      </c>
      <c r="B72" s="107" t="s">
        <v>397</v>
      </c>
      <c r="C72" s="126">
        <v>2210</v>
      </c>
      <c r="D72" s="110" t="s">
        <v>400</v>
      </c>
      <c r="E72" s="126">
        <v>15900</v>
      </c>
      <c r="F72" s="113" t="s">
        <v>398</v>
      </c>
      <c r="G72" s="235">
        <v>2978410.89812</v>
      </c>
      <c r="H72" s="113" t="s">
        <v>94</v>
      </c>
    </row>
    <row r="74" spans="1:8" x14ac:dyDescent="0.2">
      <c r="G74" s="9"/>
    </row>
    <row r="76" spans="1:8" x14ac:dyDescent="0.2">
      <c r="C76"/>
      <c r="D76"/>
      <c r="E76" s="128"/>
      <c r="F76" s="7"/>
      <c r="G76" s="9"/>
    </row>
    <row r="77" spans="1:8" x14ac:dyDescent="0.2">
      <c r="C77"/>
      <c r="D77"/>
      <c r="E77" s="128"/>
    </row>
    <row r="78" spans="1:8" x14ac:dyDescent="0.2">
      <c r="C78"/>
      <c r="D78"/>
      <c r="E78" s="128"/>
    </row>
    <row r="79" spans="1:8" x14ac:dyDescent="0.2">
      <c r="C79"/>
      <c r="D79"/>
      <c r="E79" s="128"/>
    </row>
    <row r="80" spans="1:8" x14ac:dyDescent="0.2">
      <c r="C80"/>
      <c r="D80"/>
      <c r="E80" s="128"/>
    </row>
    <row r="81" spans="1:7" x14ac:dyDescent="0.2">
      <c r="C81"/>
      <c r="D81"/>
      <c r="E81" s="128"/>
    </row>
    <row r="82" spans="1:7" x14ac:dyDescent="0.2">
      <c r="C82"/>
      <c r="D82"/>
      <c r="E82" s="128"/>
    </row>
    <row r="83" spans="1:7" x14ac:dyDescent="0.2">
      <c r="C83"/>
      <c r="D83"/>
      <c r="E83" s="128"/>
    </row>
    <row r="84" spans="1:7" x14ac:dyDescent="0.2">
      <c r="C84"/>
      <c r="D84"/>
      <c r="E84" s="128"/>
    </row>
    <row r="85" spans="1:7" x14ac:dyDescent="0.2">
      <c r="A85" s="124"/>
      <c r="B85"/>
      <c r="C85"/>
      <c r="D85"/>
      <c r="E85" s="128"/>
    </row>
    <row r="86" spans="1:7" x14ac:dyDescent="0.2">
      <c r="A86" s="124"/>
      <c r="B86"/>
      <c r="C86"/>
      <c r="D86"/>
      <c r="E86" s="128"/>
    </row>
    <row r="87" spans="1:7" x14ac:dyDescent="0.2">
      <c r="A87" s="124"/>
      <c r="B87"/>
      <c r="C87"/>
      <c r="D87"/>
      <c r="E87" s="128"/>
    </row>
    <row r="88" spans="1:7" x14ac:dyDescent="0.2">
      <c r="A88" s="124"/>
      <c r="B88"/>
      <c r="C88"/>
      <c r="D88"/>
      <c r="E88" s="128"/>
    </row>
    <row r="89" spans="1:7" x14ac:dyDescent="0.2">
      <c r="A89" s="124"/>
      <c r="B89"/>
      <c r="C89"/>
      <c r="D89"/>
      <c r="E89" s="128"/>
      <c r="F89"/>
      <c r="G89"/>
    </row>
  </sheetData>
  <autoFilter ref="A1:H89"/>
  <pageMargins left="0.75" right="0.75" top="1" bottom="1" header="0.5" footer="0.5"/>
  <pageSetup paperSize="9" scale="74" fitToHeight="0" orientation="landscape" r:id="rId2"/>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5"/>
  <sheetViews>
    <sheetView tabSelected="1" zoomScaleNormal="100" workbookViewId="0">
      <pane ySplit="1" topLeftCell="A2" activePane="bottomLeft" state="frozen"/>
      <selection pane="bottomLeft" activeCell="D26" sqref="D26"/>
    </sheetView>
  </sheetViews>
  <sheetFormatPr baseColWidth="10" defaultColWidth="11.42578125" defaultRowHeight="14.25" x14ac:dyDescent="0.2"/>
  <cols>
    <col min="1" max="1" width="45.7109375" style="39" bestFit="1" customWidth="1"/>
    <col min="2" max="2" width="16.5703125" style="39" customWidth="1"/>
    <col min="3" max="3" width="17.42578125" style="39" customWidth="1"/>
    <col min="4" max="4" width="15.5703125" style="71" customWidth="1"/>
    <col min="5" max="5" width="26.7109375" style="39" customWidth="1"/>
    <col min="6" max="6" width="15.5703125" style="39" bestFit="1" customWidth="1"/>
    <col min="7" max="16384" width="11.42578125" style="39"/>
  </cols>
  <sheetData>
    <row r="1" spans="1:6" s="38" customFormat="1" ht="30" x14ac:dyDescent="0.25">
      <c r="A1" s="33" t="s">
        <v>2</v>
      </c>
      <c r="B1" s="33" t="s">
        <v>55</v>
      </c>
      <c r="C1" s="33" t="s">
        <v>71</v>
      </c>
      <c r="D1" s="74" t="s">
        <v>90</v>
      </c>
      <c r="E1" s="38" t="s">
        <v>57</v>
      </c>
    </row>
    <row r="2" spans="1:6" x14ac:dyDescent="0.2">
      <c r="A2" s="39" t="s">
        <v>238</v>
      </c>
      <c r="B2" s="40" t="s">
        <v>143</v>
      </c>
      <c r="C2" s="40"/>
      <c r="D2" s="65">
        <f>'2. Økonomirapport 201'!L2</f>
        <v>45771426.132705837</v>
      </c>
      <c r="F2" s="115"/>
    </row>
    <row r="3" spans="1:6" x14ac:dyDescent="0.2">
      <c r="A3" s="39" t="s">
        <v>236</v>
      </c>
      <c r="B3" s="224" t="s">
        <v>241</v>
      </c>
      <c r="C3" s="40"/>
      <c r="D3" s="65">
        <f>'2. Økonomirapport 201'!L9</f>
        <v>5916602.5636479398</v>
      </c>
      <c r="E3" s="261" t="s">
        <v>268</v>
      </c>
      <c r="F3" s="115"/>
    </row>
    <row r="4" spans="1:6" x14ac:dyDescent="0.2">
      <c r="A4" s="39" t="s">
        <v>237</v>
      </c>
      <c r="B4" s="224" t="s">
        <v>239</v>
      </c>
      <c r="C4" s="40"/>
      <c r="D4" s="65">
        <f>'2. Økonomirapport 201'!L10</f>
        <v>6616216.2330466686</v>
      </c>
      <c r="F4" s="115"/>
    </row>
    <row r="5" spans="1:6" x14ac:dyDescent="0.2">
      <c r="A5" s="39" t="s">
        <v>240</v>
      </c>
      <c r="B5" s="224" t="s">
        <v>242</v>
      </c>
      <c r="C5" s="40"/>
      <c r="D5" s="65">
        <f>-D3-(D3*C7)</f>
        <v>-6750843.5251222989</v>
      </c>
      <c r="E5" s="261" t="s">
        <v>268</v>
      </c>
      <c r="F5" s="115"/>
    </row>
    <row r="6" spans="1:6" x14ac:dyDescent="0.2">
      <c r="A6" s="39" t="s">
        <v>144</v>
      </c>
      <c r="B6" s="40" t="s">
        <v>228</v>
      </c>
      <c r="C6" s="220">
        <v>0.13</v>
      </c>
      <c r="D6" s="65">
        <f>D2*C6</f>
        <v>5950285.3972517587</v>
      </c>
      <c r="F6" s="115"/>
    </row>
    <row r="7" spans="1:6" x14ac:dyDescent="0.2">
      <c r="A7" s="39" t="s">
        <v>235</v>
      </c>
      <c r="B7" s="40" t="s">
        <v>228</v>
      </c>
      <c r="C7" s="221">
        <v>0.14099999999999999</v>
      </c>
      <c r="D7" s="65">
        <f>D6*C7</f>
        <v>838990.24101249792</v>
      </c>
      <c r="F7" s="115"/>
    </row>
    <row r="8" spans="1:6" x14ac:dyDescent="0.2">
      <c r="A8" s="39" t="s">
        <v>53</v>
      </c>
      <c r="B8" s="40" t="s">
        <v>50</v>
      </c>
      <c r="C8" s="40" t="s">
        <v>72</v>
      </c>
      <c r="D8" s="65">
        <f>'2. Økonomirapport 201'!L3</f>
        <v>6028872.9241763437</v>
      </c>
      <c r="F8" s="115"/>
    </row>
    <row r="9" spans="1:6" x14ac:dyDescent="0.2">
      <c r="A9" s="39" t="s">
        <v>51</v>
      </c>
      <c r="B9" s="40">
        <v>429</v>
      </c>
      <c r="C9" s="40" t="s">
        <v>72</v>
      </c>
      <c r="D9" s="65">
        <f>'2. Økonomirapport 201'!L4</f>
        <v>554406.73273161007</v>
      </c>
      <c r="F9" s="115"/>
    </row>
    <row r="10" spans="1:6" x14ac:dyDescent="0.2">
      <c r="A10" s="39" t="s">
        <v>56</v>
      </c>
      <c r="B10" s="40">
        <v>710</v>
      </c>
      <c r="C10" s="40"/>
      <c r="D10" s="65">
        <f>'2. Økonomirapport 201'!L5</f>
        <v>-4329498.3401639648</v>
      </c>
      <c r="F10" s="115"/>
    </row>
    <row r="11" spans="1:6" x14ac:dyDescent="0.2">
      <c r="A11" s="39" t="s">
        <v>54</v>
      </c>
      <c r="B11" s="40">
        <v>729</v>
      </c>
      <c r="C11" s="40" t="s">
        <v>72</v>
      </c>
      <c r="D11" s="65">
        <f>'2. Økonomirapport 201'!L6</f>
        <v>-554350.93210644112</v>
      </c>
      <c r="F11" s="115"/>
    </row>
    <row r="12" spans="1:6" x14ac:dyDescent="0.2">
      <c r="A12" s="39" t="s">
        <v>52</v>
      </c>
      <c r="B12" s="40" t="s">
        <v>147</v>
      </c>
      <c r="C12" s="40"/>
      <c r="D12" s="65">
        <f>'2. Økonomirapport 201'!L8</f>
        <v>0</v>
      </c>
    </row>
    <row r="13" spans="1:6" ht="15" thickBot="1" x14ac:dyDescent="0.25">
      <c r="A13" s="41" t="s">
        <v>64</v>
      </c>
      <c r="B13" s="42"/>
      <c r="C13" s="42"/>
      <c r="D13" s="66">
        <f>SUM(D2,D3:D5,D6:D12)</f>
        <v>60042107.42717994</v>
      </c>
    </row>
    <row r="14" spans="1:6" ht="15.75" thickTop="1" x14ac:dyDescent="0.25">
      <c r="A14" s="34" t="s">
        <v>3</v>
      </c>
      <c r="B14" s="35"/>
      <c r="C14" s="35"/>
      <c r="D14" s="67"/>
    </row>
    <row r="15" spans="1:6" x14ac:dyDescent="0.2">
      <c r="A15" s="39" t="s">
        <v>238</v>
      </c>
      <c r="B15" s="40" t="s">
        <v>143</v>
      </c>
      <c r="C15" s="40"/>
      <c r="D15" s="65">
        <f>'3. Økonomirapport 221'!L2</f>
        <v>2542320.1560959998</v>
      </c>
    </row>
    <row r="16" spans="1:6" x14ac:dyDescent="0.2">
      <c r="A16" s="39" t="s">
        <v>236</v>
      </c>
      <c r="B16" s="224" t="s">
        <v>241</v>
      </c>
      <c r="C16" s="40"/>
      <c r="D16" s="65">
        <f>'3. Økonomirapport 221'!L9</f>
        <v>313157.7318606</v>
      </c>
      <c r="E16" s="261" t="s">
        <v>268</v>
      </c>
    </row>
    <row r="17" spans="1:6" x14ac:dyDescent="0.2">
      <c r="A17" s="39" t="s">
        <v>237</v>
      </c>
      <c r="B17" s="40" t="s">
        <v>239</v>
      </c>
      <c r="C17" s="40"/>
      <c r="D17" s="65">
        <f>'3. Økonomirapport 221'!L10</f>
        <v>369137.21612320002</v>
      </c>
    </row>
    <row r="18" spans="1:6" x14ac:dyDescent="0.2">
      <c r="A18" s="39" t="s">
        <v>240</v>
      </c>
      <c r="B18" s="40" t="s">
        <v>242</v>
      </c>
      <c r="C18" s="40"/>
      <c r="D18" s="65">
        <f>-D16-(D16*C20)</f>
        <v>-357312.97205294459</v>
      </c>
      <c r="E18" s="261" t="s">
        <v>268</v>
      </c>
    </row>
    <row r="19" spans="1:6" x14ac:dyDescent="0.2">
      <c r="A19" s="39" t="s">
        <v>144</v>
      </c>
      <c r="B19" s="40" t="s">
        <v>228</v>
      </c>
      <c r="C19" s="220">
        <v>0.13</v>
      </c>
      <c r="D19" s="65">
        <f>D15*C19</f>
        <v>330501.62029247999</v>
      </c>
    </row>
    <row r="20" spans="1:6" x14ac:dyDescent="0.2">
      <c r="A20" s="39" t="s">
        <v>235</v>
      </c>
      <c r="B20" s="40" t="s">
        <v>228</v>
      </c>
      <c r="C20" s="221">
        <v>0.14099999999999999</v>
      </c>
      <c r="D20" s="65">
        <f>D19*C20</f>
        <v>46600.728461239676</v>
      </c>
    </row>
    <row r="21" spans="1:6" x14ac:dyDescent="0.2">
      <c r="A21" s="39" t="s">
        <v>53</v>
      </c>
      <c r="B21" s="40" t="s">
        <v>50</v>
      </c>
      <c r="C21" s="40" t="s">
        <v>73</v>
      </c>
      <c r="D21" s="65">
        <f>'3. Økonomirapport 221'!L3</f>
        <v>2471207.6891160002</v>
      </c>
    </row>
    <row r="22" spans="1:6" x14ac:dyDescent="0.2">
      <c r="A22" s="39" t="s">
        <v>51</v>
      </c>
      <c r="B22" s="40">
        <v>429</v>
      </c>
      <c r="C22" s="40" t="s">
        <v>73</v>
      </c>
      <c r="D22" s="65">
        <f>'3. Økonomirapport 221'!L4</f>
        <v>592398.61185760004</v>
      </c>
    </row>
    <row r="23" spans="1:6" x14ac:dyDescent="0.2">
      <c r="A23" s="39" t="s">
        <v>56</v>
      </c>
      <c r="B23" s="40">
        <v>710</v>
      </c>
      <c r="C23" s="40"/>
      <c r="D23" s="65">
        <f>'3. Økonomirapport 221'!L5</f>
        <v>-203797.34797179996</v>
      </c>
      <c r="F23" s="115"/>
    </row>
    <row r="24" spans="1:6" x14ac:dyDescent="0.2">
      <c r="A24" s="39" t="s">
        <v>54</v>
      </c>
      <c r="B24" s="40">
        <v>729</v>
      </c>
      <c r="C24" s="40" t="s">
        <v>73</v>
      </c>
      <c r="D24" s="65">
        <f>'3. Økonomirapport 221'!L6</f>
        <v>-590925.52985759999</v>
      </c>
      <c r="F24" s="115"/>
    </row>
    <row r="25" spans="1:6" x14ac:dyDescent="0.2">
      <c r="A25" s="39" t="s">
        <v>52</v>
      </c>
      <c r="B25" s="40" t="s">
        <v>147</v>
      </c>
      <c r="C25" s="40"/>
      <c r="D25" s="65">
        <f>'3. Økonomirapport 221'!L8</f>
        <v>0</v>
      </c>
      <c r="F25" s="115"/>
    </row>
    <row r="26" spans="1:6" ht="15" thickBot="1" x14ac:dyDescent="0.25">
      <c r="A26" s="41" t="s">
        <v>65</v>
      </c>
      <c r="B26" s="42"/>
      <c r="C26" s="42"/>
      <c r="D26" s="66">
        <f>(SUM(D15,D16:D18,D19:D25))</f>
        <v>5513287.9039247753</v>
      </c>
      <c r="F26" s="115"/>
    </row>
    <row r="27" spans="1:6" ht="15.75" thickTop="1" x14ac:dyDescent="0.25">
      <c r="A27" s="43" t="s">
        <v>63</v>
      </c>
      <c r="B27" s="44"/>
      <c r="C27" s="44"/>
      <c r="D27" s="67"/>
      <c r="F27" s="115"/>
    </row>
    <row r="28" spans="1:6" x14ac:dyDescent="0.2">
      <c r="A28" s="45" t="s">
        <v>59</v>
      </c>
      <c r="B28" s="44"/>
      <c r="C28" s="44"/>
      <c r="D28" s="65"/>
      <c r="E28" s="261" t="s">
        <v>267</v>
      </c>
    </row>
    <row r="29" spans="1:6" x14ac:dyDescent="0.2">
      <c r="A29" s="45" t="s">
        <v>58</v>
      </c>
      <c r="B29" s="44"/>
      <c r="C29" s="44"/>
      <c r="D29" s="75"/>
    </row>
    <row r="30" spans="1:6" x14ac:dyDescent="0.2">
      <c r="A30" s="45" t="s">
        <v>66</v>
      </c>
      <c r="B30" s="44"/>
      <c r="C30" s="44" t="s">
        <v>72</v>
      </c>
      <c r="D30" s="75"/>
    </row>
    <row r="31" spans="1:6" x14ac:dyDescent="0.2">
      <c r="A31" s="45" t="s">
        <v>60</v>
      </c>
      <c r="B31" s="44"/>
      <c r="C31" s="44" t="s">
        <v>72</v>
      </c>
      <c r="D31" s="75"/>
    </row>
    <row r="32" spans="1:6" x14ac:dyDescent="0.2">
      <c r="A32" s="45" t="s">
        <v>61</v>
      </c>
      <c r="B32" s="44"/>
      <c r="C32" s="44" t="s">
        <v>72</v>
      </c>
      <c r="D32" s="75"/>
    </row>
    <row r="33" spans="1:17" x14ac:dyDescent="0.2">
      <c r="A33" s="45" t="s">
        <v>67</v>
      </c>
      <c r="B33" s="44"/>
      <c r="C33" s="44" t="s">
        <v>72</v>
      </c>
      <c r="D33" s="75"/>
    </row>
    <row r="34" spans="1:17" ht="15" x14ac:dyDescent="0.25">
      <c r="A34" s="46" t="s">
        <v>107</v>
      </c>
      <c r="B34" s="44"/>
      <c r="C34" s="44"/>
      <c r="D34" s="75"/>
    </row>
    <row r="35" spans="1:17" x14ac:dyDescent="0.2">
      <c r="A35" s="45" t="s">
        <v>62</v>
      </c>
      <c r="B35" s="44"/>
      <c r="C35" s="44"/>
      <c r="D35" s="75"/>
    </row>
    <row r="36" spans="1:17" x14ac:dyDescent="0.2">
      <c r="A36" s="45" t="s">
        <v>148</v>
      </c>
      <c r="B36" s="44"/>
      <c r="C36" s="44"/>
      <c r="D36" s="75"/>
      <c r="E36" s="39" t="s">
        <v>243</v>
      </c>
    </row>
    <row r="37" spans="1:17" x14ac:dyDescent="0.2">
      <c r="A37" s="45" t="s">
        <v>149</v>
      </c>
      <c r="B37" s="44"/>
      <c r="C37" s="44" t="s">
        <v>72</v>
      </c>
      <c r="D37" s="75"/>
    </row>
    <row r="38" spans="1:17" x14ac:dyDescent="0.2">
      <c r="A38" s="45" t="s">
        <v>69</v>
      </c>
      <c r="B38" s="44">
        <v>190</v>
      </c>
      <c r="C38" s="44" t="s">
        <v>73</v>
      </c>
      <c r="D38" s="75"/>
    </row>
    <row r="39" spans="1:17" ht="15" thickBot="1" x14ac:dyDescent="0.25">
      <c r="A39" s="47" t="s">
        <v>70</v>
      </c>
      <c r="B39" s="42"/>
      <c r="C39" s="42"/>
      <c r="D39" s="66">
        <f>SUM(D29:D38)</f>
        <v>0</v>
      </c>
    </row>
    <row r="40" spans="1:17" ht="15.75" thickTop="1" thickBot="1" x14ac:dyDescent="0.25">
      <c r="A40" s="48" t="s">
        <v>39</v>
      </c>
      <c r="B40" s="48"/>
      <c r="C40" s="48"/>
      <c r="D40" s="68">
        <f>D13+D26+D39</f>
        <v>65555395.331104718</v>
      </c>
    </row>
    <row r="41" spans="1:17" ht="27" customHeight="1" thickTop="1" thickBot="1" x14ac:dyDescent="0.25">
      <c r="A41" s="49" t="s">
        <v>68</v>
      </c>
      <c r="C41" s="129">
        <v>4.2999999999999997E-2</v>
      </c>
      <c r="D41" s="69">
        <f>D40*$C$41</f>
        <v>2818881.9992375025</v>
      </c>
    </row>
    <row r="42" spans="1:17" ht="15" thickBot="1" x14ac:dyDescent="0.25">
      <c r="A42" s="50" t="s">
        <v>35</v>
      </c>
      <c r="B42" s="41"/>
      <c r="C42" s="41"/>
      <c r="D42" s="66">
        <f>SUM(D40:D41)</f>
        <v>68374277.330342218</v>
      </c>
      <c r="K42" s="265" t="s">
        <v>272</v>
      </c>
      <c r="L42" s="266"/>
      <c r="M42" s="266"/>
      <c r="N42" s="266"/>
      <c r="O42" s="266"/>
      <c r="P42" s="266"/>
      <c r="Q42" s="267"/>
    </row>
    <row r="43" spans="1:17" ht="22.9" customHeight="1" thickTop="1" x14ac:dyDescent="0.2">
      <c r="A43" s="49" t="s">
        <v>125</v>
      </c>
      <c r="B43" s="64" t="s">
        <v>104</v>
      </c>
      <c r="C43" s="130">
        <v>0.03</v>
      </c>
      <c r="D43" s="69">
        <f>D42*(1+C43)</f>
        <v>70425505.650252491</v>
      </c>
      <c r="E43" s="39">
        <v>2018</v>
      </c>
      <c r="F43" s="39" t="s">
        <v>273</v>
      </c>
      <c r="H43" s="263" t="s">
        <v>269</v>
      </c>
      <c r="K43" s="268" t="s">
        <v>271</v>
      </c>
      <c r="L43" s="64"/>
      <c r="M43" s="64"/>
      <c r="N43" s="64"/>
      <c r="O43" s="64"/>
      <c r="P43" s="64"/>
      <c r="Q43" s="269"/>
    </row>
    <row r="44" spans="1:17" ht="15" thickBot="1" x14ac:dyDescent="0.25">
      <c r="A44" s="50" t="s">
        <v>125</v>
      </c>
      <c r="B44" s="41" t="s">
        <v>105</v>
      </c>
      <c r="C44" s="131">
        <v>2.8000000000000001E-2</v>
      </c>
      <c r="D44" s="66">
        <f>D43*(1+C44)</f>
        <v>72397419.808459565</v>
      </c>
      <c r="E44" s="39">
        <v>2019</v>
      </c>
      <c r="F44" s="39" t="s">
        <v>273</v>
      </c>
      <c r="H44" s="263" t="s">
        <v>269</v>
      </c>
      <c r="K44" s="270"/>
      <c r="L44" s="271"/>
      <c r="M44" s="271"/>
      <c r="N44" s="271"/>
      <c r="O44" s="271"/>
      <c r="P44" s="271"/>
      <c r="Q44" s="272"/>
    </row>
    <row r="45" spans="1:17" ht="30" customHeight="1" thickTop="1" x14ac:dyDescent="0.25">
      <c r="A45" s="34" t="s">
        <v>49</v>
      </c>
      <c r="B45" s="34"/>
      <c r="C45" s="34"/>
      <c r="D45" s="70"/>
    </row>
    <row r="46" spans="1:17" x14ac:dyDescent="0.2">
      <c r="A46" s="39" t="s">
        <v>40</v>
      </c>
      <c r="D46" s="116">
        <f>((7/12)*'1a. Årsmelding 1.1.'!K69)+((5/12)*'1b. Årsmelding 31.12.'!K69)</f>
        <v>172.49259259259259</v>
      </c>
      <c r="E46" s="39" t="s">
        <v>233</v>
      </c>
    </row>
    <row r="47" spans="1:17" x14ac:dyDescent="0.2">
      <c r="A47" s="39" t="s">
        <v>41</v>
      </c>
      <c r="D47" s="116">
        <f>((7/12)*'1a. Årsmelding 1.1.'!K70)+((5/12)*'1b. Årsmelding 31.12.'!K70)</f>
        <v>269.66296296296298</v>
      </c>
      <c r="E47" s="39" t="s">
        <v>233</v>
      </c>
    </row>
    <row r="48" spans="1:17" ht="15" thickBot="1" x14ac:dyDescent="0.25">
      <c r="A48" s="41" t="s">
        <v>11</v>
      </c>
      <c r="B48" s="41"/>
      <c r="C48" s="41"/>
      <c r="D48" s="132">
        <f>SUM(D46:D47)</f>
        <v>442.15555555555557</v>
      </c>
    </row>
    <row r="49" spans="1:5" ht="30" customHeight="1" thickTop="1" x14ac:dyDescent="0.25">
      <c r="A49" s="34" t="s">
        <v>12</v>
      </c>
      <c r="B49" s="34" t="s">
        <v>25</v>
      </c>
      <c r="C49" s="34"/>
    </row>
    <row r="50" spans="1:5" x14ac:dyDescent="0.2">
      <c r="A50" s="39" t="s">
        <v>1</v>
      </c>
      <c r="B50" s="39">
        <v>1.8</v>
      </c>
      <c r="D50" s="133">
        <f>D46*$B50</f>
        <v>310.48666666666668</v>
      </c>
    </row>
    <row r="51" spans="1:5" x14ac:dyDescent="0.2">
      <c r="A51" s="39" t="s">
        <v>10</v>
      </c>
      <c r="B51" s="52">
        <v>1</v>
      </c>
      <c r="C51" s="52"/>
      <c r="D51" s="133">
        <f>D47*$B51</f>
        <v>269.66296296296298</v>
      </c>
    </row>
    <row r="52" spans="1:5" ht="15" thickBot="1" x14ac:dyDescent="0.25">
      <c r="A52" s="41" t="s">
        <v>11</v>
      </c>
      <c r="B52" s="41"/>
      <c r="C52" s="41"/>
      <c r="D52" s="132">
        <f>SUM(D50:D51)</f>
        <v>580.14962962962966</v>
      </c>
    </row>
    <row r="53" spans="1:5" ht="33.75" customHeight="1" thickTop="1" x14ac:dyDescent="0.25">
      <c r="A53" s="34" t="s">
        <v>37</v>
      </c>
    </row>
    <row r="54" spans="1:5" x14ac:dyDescent="0.2">
      <c r="A54" s="36" t="s">
        <v>1</v>
      </c>
      <c r="D54" s="53">
        <f>D50/D52</f>
        <v>0.53518377123653926</v>
      </c>
    </row>
    <row r="55" spans="1:5" x14ac:dyDescent="0.2">
      <c r="A55" s="36" t="s">
        <v>10</v>
      </c>
      <c r="D55" s="53">
        <f>D51/D52</f>
        <v>0.46481622876346079</v>
      </c>
    </row>
    <row r="56" spans="1:5" ht="15" thickBot="1" x14ac:dyDescent="0.25">
      <c r="A56" s="37" t="s">
        <v>28</v>
      </c>
      <c r="B56" s="41"/>
      <c r="C56" s="41"/>
      <c r="D56" s="54">
        <f>SUM(D54:D55)</f>
        <v>1</v>
      </c>
    </row>
    <row r="57" spans="1:5" ht="36.75" customHeight="1" thickTop="1" x14ac:dyDescent="0.25">
      <c r="A57" s="34" t="s">
        <v>38</v>
      </c>
      <c r="C57" s="58" t="s">
        <v>103</v>
      </c>
    </row>
    <row r="58" spans="1:5" x14ac:dyDescent="0.2">
      <c r="A58" s="39" t="s">
        <v>1</v>
      </c>
      <c r="B58" s="55"/>
      <c r="C58" s="55"/>
      <c r="D58" s="65">
        <f>D44*D54</f>
        <v>38745924.160886317</v>
      </c>
    </row>
    <row r="59" spans="1:5" x14ac:dyDescent="0.2">
      <c r="A59" s="39" t="s">
        <v>10</v>
      </c>
      <c r="B59" s="55"/>
      <c r="C59" s="55"/>
      <c r="D59" s="65">
        <f>D44*D55</f>
        <v>33651495.647573248</v>
      </c>
    </row>
    <row r="60" spans="1:5" ht="15" thickBot="1" x14ac:dyDescent="0.25">
      <c r="A60" s="41" t="s">
        <v>0</v>
      </c>
      <c r="B60" s="56"/>
      <c r="C60" s="56"/>
      <c r="D60" s="66">
        <f>SUM(D58:D59)</f>
        <v>72397419.808459565</v>
      </c>
    </row>
    <row r="61" spans="1:5" ht="28.5" customHeight="1" thickTop="1" x14ac:dyDescent="0.25">
      <c r="A61" s="34" t="s">
        <v>275</v>
      </c>
    </row>
    <row r="62" spans="1:5" ht="23.25" customHeight="1" x14ac:dyDescent="0.2">
      <c r="A62" s="36" t="s">
        <v>47</v>
      </c>
      <c r="B62" s="39" t="s">
        <v>108</v>
      </c>
      <c r="D62" s="71" t="s">
        <v>109</v>
      </c>
    </row>
    <row r="63" spans="1:5" ht="15" x14ac:dyDescent="0.25">
      <c r="A63" s="39" t="s">
        <v>36</v>
      </c>
      <c r="B63" s="57" t="s">
        <v>110</v>
      </c>
      <c r="C63" s="57"/>
      <c r="D63" s="75">
        <v>30300</v>
      </c>
      <c r="E63" s="273" t="s">
        <v>274</v>
      </c>
    </row>
    <row r="64" spans="1:5" x14ac:dyDescent="0.2">
      <c r="A64" s="39" t="s">
        <v>153</v>
      </c>
      <c r="B64" s="57" t="s">
        <v>154</v>
      </c>
      <c r="C64" s="57"/>
      <c r="D64" s="65">
        <f>-'2. Økonomirapport 201'!L7/D48</f>
        <v>2904.7582518949907</v>
      </c>
      <c r="E64" s="39" t="s">
        <v>232</v>
      </c>
    </row>
    <row r="65" spans="1:5" x14ac:dyDescent="0.2">
      <c r="A65" s="39" t="s">
        <v>152</v>
      </c>
      <c r="B65" s="57" t="s">
        <v>151</v>
      </c>
      <c r="C65" s="57"/>
      <c r="D65" s="65">
        <f>D64*(1+C43)*(1+C44)</f>
        <v>3075.6742274364919</v>
      </c>
    </row>
    <row r="66" spans="1:5" x14ac:dyDescent="0.2">
      <c r="B66" s="57"/>
      <c r="C66" s="57"/>
      <c r="D66" s="65"/>
    </row>
    <row r="67" spans="1:5" ht="33" customHeight="1" x14ac:dyDescent="0.2">
      <c r="A67" s="39" t="s">
        <v>48</v>
      </c>
      <c r="B67" s="57"/>
      <c r="C67" s="57"/>
      <c r="D67" s="65"/>
    </row>
    <row r="68" spans="1:5" x14ac:dyDescent="0.2">
      <c r="A68" s="39" t="s">
        <v>1</v>
      </c>
      <c r="B68" s="57"/>
      <c r="C68" s="57"/>
      <c r="D68" s="65">
        <f>(D63+D65)*D46</f>
        <v>5757056.5770162959</v>
      </c>
    </row>
    <row r="69" spans="1:5" x14ac:dyDescent="0.2">
      <c r="A69" s="39" t="s">
        <v>10</v>
      </c>
      <c r="B69" s="57"/>
      <c r="C69" s="57"/>
      <c r="D69" s="65">
        <f>(D63+D65)*D47</f>
        <v>9000183.2030571252</v>
      </c>
    </row>
    <row r="70" spans="1:5" ht="15" thickBot="1" x14ac:dyDescent="0.25">
      <c r="A70" s="41" t="s">
        <v>13</v>
      </c>
      <c r="B70" s="41"/>
      <c r="C70" s="41"/>
      <c r="D70" s="66">
        <f>SUM(D68:D69)</f>
        <v>14757239.780073421</v>
      </c>
    </row>
    <row r="71" spans="1:5" ht="36" customHeight="1" thickTop="1" x14ac:dyDescent="0.25">
      <c r="A71" s="34" t="s">
        <v>42</v>
      </c>
    </row>
    <row r="72" spans="1:5" x14ac:dyDescent="0.2">
      <c r="A72" s="39" t="s">
        <v>1</v>
      </c>
      <c r="D72" s="65">
        <f>D58-D68</f>
        <v>32988867.583870023</v>
      </c>
    </row>
    <row r="73" spans="1:5" x14ac:dyDescent="0.2">
      <c r="A73" s="39" t="s">
        <v>10</v>
      </c>
      <c r="D73" s="65">
        <f>D59-D69</f>
        <v>24651312.444516122</v>
      </c>
    </row>
    <row r="74" spans="1:5" ht="15" thickBot="1" x14ac:dyDescent="0.25">
      <c r="A74" s="41" t="s">
        <v>11</v>
      </c>
      <c r="B74" s="41"/>
      <c r="C74" s="41"/>
      <c r="D74" s="66">
        <f>SUM(D72:D73)</f>
        <v>57640180.028386146</v>
      </c>
    </row>
    <row r="75" spans="1:5" ht="29.25" customHeight="1" thickTop="1" x14ac:dyDescent="0.25">
      <c r="A75" s="250" t="s">
        <v>14</v>
      </c>
      <c r="B75" s="251"/>
      <c r="C75" s="251"/>
      <c r="D75" s="252"/>
    </row>
    <row r="76" spans="1:5" x14ac:dyDescent="0.2">
      <c r="A76" s="39" t="s">
        <v>1</v>
      </c>
      <c r="D76" s="222">
        <f>D72/D46</f>
        <v>191248.0245559639</v>
      </c>
    </row>
    <row r="77" spans="1:5" x14ac:dyDescent="0.2">
      <c r="A77" s="39" t="s">
        <v>10</v>
      </c>
      <c r="D77" s="222">
        <f>D73/D47</f>
        <v>91415.269541119269</v>
      </c>
    </row>
    <row r="78" spans="1:5" x14ac:dyDescent="0.2">
      <c r="D78" s="222"/>
    </row>
    <row r="79" spans="1:5" ht="15" x14ac:dyDescent="0.25">
      <c r="A79" s="247" t="s">
        <v>247</v>
      </c>
      <c r="B79" s="248"/>
      <c r="C79" s="248" t="s">
        <v>228</v>
      </c>
      <c r="D79" s="249"/>
      <c r="E79" s="246" t="s">
        <v>251</v>
      </c>
    </row>
    <row r="80" spans="1:5" x14ac:dyDescent="0.2">
      <c r="A80" s="39" t="s">
        <v>249</v>
      </c>
      <c r="C80" s="39">
        <v>2158</v>
      </c>
      <c r="D80" s="222"/>
    </row>
    <row r="81" spans="1:6" x14ac:dyDescent="0.2">
      <c r="A81" s="39" t="s">
        <v>248</v>
      </c>
      <c r="C81" s="39">
        <v>1199</v>
      </c>
      <c r="D81" s="222"/>
    </row>
    <row r="82" spans="1:6" x14ac:dyDescent="0.2">
      <c r="D82" s="222"/>
    </row>
    <row r="83" spans="1:6" ht="47.25" customHeight="1" thickBot="1" x14ac:dyDescent="0.3">
      <c r="A83" s="61" t="s">
        <v>43</v>
      </c>
      <c r="B83" s="62"/>
      <c r="C83" s="62"/>
      <c r="D83" s="72" t="s">
        <v>90</v>
      </c>
    </row>
    <row r="84" spans="1:6" x14ac:dyDescent="0.2">
      <c r="A84" s="51" t="s">
        <v>44</v>
      </c>
      <c r="B84" s="60"/>
      <c r="C84" s="60"/>
      <c r="D84" s="116">
        <f>('1a. Årsmelding 1.1.'!K80*7/12)+('1b. Årsmelding 31.12.'!K80*5/12)</f>
        <v>104.65</v>
      </c>
      <c r="E84" s="261" t="s">
        <v>209</v>
      </c>
    </row>
    <row r="85" spans="1:6" x14ac:dyDescent="0.2">
      <c r="A85" s="51" t="s">
        <v>46</v>
      </c>
      <c r="B85" s="51"/>
      <c r="C85" s="51"/>
      <c r="D85" s="70">
        <f>D46*2+D47</f>
        <v>614.64814814814815</v>
      </c>
    </row>
    <row r="86" spans="1:6" ht="15" x14ac:dyDescent="0.25">
      <c r="A86" s="59" t="s">
        <v>45</v>
      </c>
      <c r="B86" s="59"/>
      <c r="C86" s="59"/>
      <c r="D86" s="117">
        <f>D85/D84</f>
        <v>5.8733697864132646</v>
      </c>
    </row>
    <row r="87" spans="1:6" ht="23.25" customHeight="1" x14ac:dyDescent="0.2">
      <c r="A87" s="51" t="s">
        <v>205</v>
      </c>
      <c r="B87" s="51" t="s">
        <v>157</v>
      </c>
      <c r="C87" s="51"/>
      <c r="D87" s="65">
        <f>'2. Økonomirapport 201'!L9+'2. Økonomirapport 201'!L10+'2. Økonomirapport 201'!L2+'2. Økonomirapport 201'!L5</f>
        <v>53974746.589236483</v>
      </c>
      <c r="E87" s="39" t="s">
        <v>150</v>
      </c>
      <c r="F87" s="39" t="s">
        <v>230</v>
      </c>
    </row>
    <row r="88" spans="1:6" ht="23.25" customHeight="1" x14ac:dyDescent="0.2">
      <c r="A88" s="51" t="s">
        <v>156</v>
      </c>
      <c r="B88" s="51" t="s">
        <v>158</v>
      </c>
      <c r="C88" s="51"/>
      <c r="D88" s="133">
        <f>D84</f>
        <v>104.65</v>
      </c>
      <c r="E88" s="39" t="s">
        <v>209</v>
      </c>
    </row>
    <row r="89" spans="1:6" ht="15" x14ac:dyDescent="0.25">
      <c r="A89" s="59" t="s">
        <v>206</v>
      </c>
      <c r="B89" s="59"/>
      <c r="C89" s="59"/>
      <c r="D89" s="73">
        <f>D87/D88</f>
        <v>515764.42034626356</v>
      </c>
    </row>
    <row r="90" spans="1:6" ht="26.25" customHeight="1" x14ac:dyDescent="0.2">
      <c r="A90" s="51" t="s">
        <v>75</v>
      </c>
      <c r="B90" s="51"/>
      <c r="C90" s="51" t="s">
        <v>72</v>
      </c>
      <c r="D90" s="65">
        <f>D8+D9+D11+D30+D31+D32+D33+D37</f>
        <v>6028928.7248015124</v>
      </c>
      <c r="E90" s="39" t="s">
        <v>229</v>
      </c>
    </row>
    <row r="91" spans="1:6" ht="15" x14ac:dyDescent="0.25">
      <c r="A91" s="59" t="s">
        <v>74</v>
      </c>
      <c r="B91" s="59" t="s">
        <v>207</v>
      </c>
      <c r="C91" s="59"/>
      <c r="D91" s="117">
        <f>D90/D48</f>
        <v>13635.3114849509</v>
      </c>
    </row>
    <row r="92" spans="1:6" x14ac:dyDescent="0.2">
      <c r="A92" s="51"/>
      <c r="B92" s="51"/>
      <c r="C92" s="51"/>
      <c r="D92" s="70"/>
    </row>
    <row r="93" spans="1:6" x14ac:dyDescent="0.2">
      <c r="A93" s="51" t="s">
        <v>97</v>
      </c>
      <c r="B93" s="51"/>
      <c r="C93" s="51"/>
      <c r="D93" s="75">
        <v>72742</v>
      </c>
    </row>
    <row r="94" spans="1:6" x14ac:dyDescent="0.2">
      <c r="A94" s="51" t="s">
        <v>98</v>
      </c>
      <c r="B94" s="51"/>
      <c r="C94" s="51"/>
      <c r="D94" s="75">
        <v>10182</v>
      </c>
    </row>
    <row r="95" spans="1:6" ht="15" x14ac:dyDescent="0.25">
      <c r="A95" s="59" t="s">
        <v>77</v>
      </c>
      <c r="B95" s="59"/>
      <c r="C95" s="59"/>
      <c r="D95" s="76">
        <f>D94/D93</f>
        <v>0.13997415523356521</v>
      </c>
    </row>
  </sheetData>
  <hyperlinks>
    <hyperlink ref="K43" r:id="rId1"/>
  </hyperlinks>
  <pageMargins left="0.7" right="0.7" top="0.78740157499999996" bottom="0.78740157499999996"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zoomScaleNormal="100" workbookViewId="0">
      <pane ySplit="1" topLeftCell="A2" activePane="bottomLeft" state="frozen"/>
      <selection pane="bottomLeft" activeCell="D3" sqref="D3"/>
    </sheetView>
  </sheetViews>
  <sheetFormatPr baseColWidth="10" defaultColWidth="11.42578125" defaultRowHeight="12.75" x14ac:dyDescent="0.2"/>
  <cols>
    <col min="1" max="1" width="35.5703125" style="2" customWidth="1"/>
    <col min="2" max="11" width="12.5703125" style="2" customWidth="1"/>
    <col min="12" max="16384" width="11.42578125" style="2"/>
  </cols>
  <sheetData>
    <row r="1" spans="1:11" ht="26.25" customHeight="1" x14ac:dyDescent="0.2">
      <c r="A1" s="184" t="s">
        <v>30</v>
      </c>
      <c r="B1" s="184" t="s">
        <v>126</v>
      </c>
      <c r="C1" s="184" t="str">
        <f>B1</f>
        <v>Privat 1</v>
      </c>
      <c r="D1" s="184" t="s">
        <v>127</v>
      </c>
      <c r="E1" s="184" t="s">
        <v>128</v>
      </c>
      <c r="F1" s="184" t="s">
        <v>129</v>
      </c>
      <c r="G1" s="184" t="s">
        <v>130</v>
      </c>
      <c r="H1" s="184" t="s">
        <v>131</v>
      </c>
      <c r="I1" s="184" t="s">
        <v>132</v>
      </c>
      <c r="J1" s="184" t="s">
        <v>188</v>
      </c>
      <c r="K1" s="184" t="s">
        <v>28</v>
      </c>
    </row>
    <row r="2" spans="1:11" x14ac:dyDescent="0.2">
      <c r="A2" s="185" t="s">
        <v>191</v>
      </c>
      <c r="B2" s="186">
        <v>1979</v>
      </c>
      <c r="C2" s="186">
        <v>2015</v>
      </c>
      <c r="D2" s="186">
        <v>1979</v>
      </c>
      <c r="E2" s="186">
        <v>2017</v>
      </c>
      <c r="F2" s="186">
        <v>2005</v>
      </c>
      <c r="G2" s="186"/>
      <c r="H2" s="187"/>
      <c r="I2" s="187"/>
      <c r="J2" s="186"/>
      <c r="K2" s="188"/>
    </row>
    <row r="3" spans="1:11" x14ac:dyDescent="0.2">
      <c r="A3" s="185" t="s">
        <v>196</v>
      </c>
      <c r="B3" s="216">
        <f>VLOOKUP(B$2,$A$11:$B$63,2,FALSE)</f>
        <v>9500</v>
      </c>
      <c r="C3" s="216">
        <f t="shared" ref="C3:J3" si="0">VLOOKUP(C$2,$A$11:$B$63,2,FALSE)</f>
        <v>20200</v>
      </c>
      <c r="D3" s="216">
        <f t="shared" si="0"/>
        <v>9500</v>
      </c>
      <c r="E3" s="216">
        <f t="shared" si="0"/>
        <v>21400</v>
      </c>
      <c r="F3" s="216">
        <f t="shared" si="0"/>
        <v>9500</v>
      </c>
      <c r="G3" s="216" t="e">
        <f t="shared" si="0"/>
        <v>#N/A</v>
      </c>
      <c r="H3" s="216" t="e">
        <f t="shared" si="0"/>
        <v>#N/A</v>
      </c>
      <c r="I3" s="216" t="e">
        <f t="shared" si="0"/>
        <v>#N/A</v>
      </c>
      <c r="J3" s="216" t="e">
        <f t="shared" si="0"/>
        <v>#N/A</v>
      </c>
      <c r="K3" s="216"/>
    </row>
    <row r="4" spans="1:11" x14ac:dyDescent="0.2">
      <c r="A4" s="185" t="s">
        <v>186</v>
      </c>
      <c r="B4" s="245">
        <v>28</v>
      </c>
      <c r="C4" s="245">
        <v>28</v>
      </c>
      <c r="D4" s="245">
        <v>56</v>
      </c>
      <c r="E4" s="245">
        <v>56</v>
      </c>
      <c r="F4" s="245">
        <v>56</v>
      </c>
      <c r="G4" s="189"/>
      <c r="H4" s="189"/>
      <c r="I4" s="189"/>
      <c r="J4" s="189"/>
      <c r="K4" s="193">
        <f>SUM(B4:J4)</f>
        <v>224</v>
      </c>
    </row>
    <row r="5" spans="1:11" x14ac:dyDescent="0.2">
      <c r="A5" s="185" t="s">
        <v>197</v>
      </c>
      <c r="B5" s="186">
        <v>19.5</v>
      </c>
      <c r="C5" s="186">
        <v>28</v>
      </c>
      <c r="D5" s="186">
        <v>52.1</v>
      </c>
      <c r="E5" s="186">
        <v>51.9</v>
      </c>
      <c r="F5" s="186">
        <v>54.3</v>
      </c>
      <c r="G5" s="186"/>
      <c r="H5" s="186"/>
      <c r="I5" s="186"/>
      <c r="J5" s="186"/>
      <c r="K5" s="193">
        <f>SUM(B5:J5)</f>
        <v>205.8</v>
      </c>
    </row>
    <row r="6" spans="1:11" x14ac:dyDescent="0.2">
      <c r="A6" s="185" t="s">
        <v>187</v>
      </c>
      <c r="B6" s="186">
        <f>B5</f>
        <v>19.5</v>
      </c>
      <c r="C6" s="186">
        <f t="shared" ref="C6:F6" si="1">C5</f>
        <v>28</v>
      </c>
      <c r="D6" s="186">
        <f t="shared" si="1"/>
        <v>52.1</v>
      </c>
      <c r="E6" s="186">
        <f t="shared" si="1"/>
        <v>51.9</v>
      </c>
      <c r="F6" s="186">
        <f t="shared" si="1"/>
        <v>54.3</v>
      </c>
      <c r="G6" s="186">
        <f t="shared" ref="G6:J6" si="2">G5</f>
        <v>0</v>
      </c>
      <c r="H6" s="186">
        <f t="shared" si="2"/>
        <v>0</v>
      </c>
      <c r="I6" s="186">
        <f t="shared" si="2"/>
        <v>0</v>
      </c>
      <c r="J6" s="186">
        <f t="shared" si="2"/>
        <v>0</v>
      </c>
      <c r="K6" s="193">
        <f>SUM(B6:J6)</f>
        <v>205.8</v>
      </c>
    </row>
    <row r="7" spans="1:11" x14ac:dyDescent="0.2">
      <c r="A7" s="185" t="s">
        <v>198</v>
      </c>
      <c r="B7" s="216">
        <f>B3*B6</f>
        <v>185250</v>
      </c>
      <c r="C7" s="216">
        <f t="shared" ref="C7:J7" si="3">C3*C6</f>
        <v>565600</v>
      </c>
      <c r="D7" s="216">
        <f t="shared" si="3"/>
        <v>494950</v>
      </c>
      <c r="E7" s="216">
        <f t="shared" si="3"/>
        <v>1110660</v>
      </c>
      <c r="F7" s="216">
        <f t="shared" si="3"/>
        <v>515850</v>
      </c>
      <c r="G7" s="216" t="e">
        <f t="shared" si="3"/>
        <v>#N/A</v>
      </c>
      <c r="H7" s="216" t="e">
        <f t="shared" si="3"/>
        <v>#N/A</v>
      </c>
      <c r="I7" s="216" t="e">
        <f t="shared" si="3"/>
        <v>#N/A</v>
      </c>
      <c r="J7" s="216" t="e">
        <f t="shared" si="3"/>
        <v>#N/A</v>
      </c>
      <c r="K7" s="216" t="e">
        <f>SUM(B7:J7)</f>
        <v>#N/A</v>
      </c>
    </row>
    <row r="8" spans="1:11" x14ac:dyDescent="0.2">
      <c r="A8" s="185" t="s">
        <v>199</v>
      </c>
      <c r="B8" s="10"/>
      <c r="C8" s="10">
        <f>(B7+C7)/(B6+C6)</f>
        <v>15807.368421052632</v>
      </c>
      <c r="D8" s="10">
        <f>D3</f>
        <v>9500</v>
      </c>
      <c r="E8" s="10">
        <f t="shared" ref="E8:J8" si="4">E3</f>
        <v>21400</v>
      </c>
      <c r="F8" s="10">
        <f t="shared" si="4"/>
        <v>9500</v>
      </c>
      <c r="G8" s="10" t="e">
        <f t="shared" si="4"/>
        <v>#N/A</v>
      </c>
      <c r="H8" s="10" t="e">
        <f t="shared" si="4"/>
        <v>#N/A</v>
      </c>
      <c r="I8" s="10" t="e">
        <f t="shared" si="4"/>
        <v>#N/A</v>
      </c>
      <c r="J8" s="10" t="e">
        <f t="shared" si="4"/>
        <v>#N/A</v>
      </c>
      <c r="K8" s="10"/>
    </row>
    <row r="9" spans="1:11" x14ac:dyDescent="0.2">
      <c r="B9" s="12"/>
      <c r="C9" s="12"/>
      <c r="D9" s="12"/>
      <c r="F9" s="12"/>
      <c r="G9" s="12"/>
      <c r="H9" s="12"/>
      <c r="I9" s="12"/>
      <c r="J9" s="12"/>
      <c r="K9" s="12"/>
    </row>
    <row r="10" spans="1:11" ht="13.5" thickBot="1" x14ac:dyDescent="0.25">
      <c r="A10" s="217" t="s">
        <v>189</v>
      </c>
      <c r="B10" s="218" t="s">
        <v>190</v>
      </c>
      <c r="C10" s="218"/>
      <c r="D10" s="278"/>
      <c r="E10" s="279" t="s">
        <v>276</v>
      </c>
      <c r="F10" s="278"/>
      <c r="G10" s="278"/>
      <c r="H10" s="278"/>
      <c r="I10" s="278"/>
      <c r="J10" s="278"/>
    </row>
    <row r="11" spans="1:11" hidden="1" x14ac:dyDescent="0.2">
      <c r="A11" s="2">
        <v>1970</v>
      </c>
      <c r="B11" s="2">
        <f t="shared" ref="B11:B49" si="5">B12</f>
        <v>9500</v>
      </c>
    </row>
    <row r="12" spans="1:11" hidden="1" x14ac:dyDescent="0.2">
      <c r="A12" s="2">
        <v>1971</v>
      </c>
      <c r="B12" s="2">
        <f t="shared" si="5"/>
        <v>9500</v>
      </c>
    </row>
    <row r="13" spans="1:11" hidden="1" x14ac:dyDescent="0.2">
      <c r="A13" s="2">
        <v>1972</v>
      </c>
      <c r="B13" s="2">
        <f t="shared" si="5"/>
        <v>9500</v>
      </c>
    </row>
    <row r="14" spans="1:11" hidden="1" x14ac:dyDescent="0.2">
      <c r="A14" s="2">
        <v>1973</v>
      </c>
      <c r="B14" s="2">
        <f t="shared" si="5"/>
        <v>9500</v>
      </c>
    </row>
    <row r="15" spans="1:11" hidden="1" x14ac:dyDescent="0.2">
      <c r="A15" s="2">
        <v>1974</v>
      </c>
      <c r="B15" s="2">
        <f t="shared" si="5"/>
        <v>9500</v>
      </c>
    </row>
    <row r="16" spans="1:11" hidden="1" x14ac:dyDescent="0.2">
      <c r="A16" s="2">
        <v>1975</v>
      </c>
      <c r="B16" s="2">
        <f t="shared" si="5"/>
        <v>9500</v>
      </c>
    </row>
    <row r="17" spans="1:2" hidden="1" x14ac:dyDescent="0.2">
      <c r="A17" s="2">
        <v>1976</v>
      </c>
      <c r="B17" s="2">
        <f t="shared" si="5"/>
        <v>9500</v>
      </c>
    </row>
    <row r="18" spans="1:2" hidden="1" x14ac:dyDescent="0.2">
      <c r="A18" s="2">
        <v>1977</v>
      </c>
      <c r="B18" s="2">
        <f t="shared" si="5"/>
        <v>9500</v>
      </c>
    </row>
    <row r="19" spans="1:2" hidden="1" x14ac:dyDescent="0.2">
      <c r="A19" s="2">
        <v>1978</v>
      </c>
      <c r="B19" s="2">
        <f t="shared" si="5"/>
        <v>9500</v>
      </c>
    </row>
    <row r="20" spans="1:2" hidden="1" x14ac:dyDescent="0.2">
      <c r="A20" s="2">
        <v>1979</v>
      </c>
      <c r="B20" s="2">
        <f t="shared" si="5"/>
        <v>9500</v>
      </c>
    </row>
    <row r="21" spans="1:2" hidden="1" x14ac:dyDescent="0.2">
      <c r="A21" s="2">
        <v>1980</v>
      </c>
      <c r="B21" s="2">
        <f t="shared" si="5"/>
        <v>9500</v>
      </c>
    </row>
    <row r="22" spans="1:2" hidden="1" x14ac:dyDescent="0.2">
      <c r="A22" s="2">
        <v>1981</v>
      </c>
      <c r="B22" s="2">
        <f t="shared" si="5"/>
        <v>9500</v>
      </c>
    </row>
    <row r="23" spans="1:2" hidden="1" x14ac:dyDescent="0.2">
      <c r="A23" s="2">
        <v>1982</v>
      </c>
      <c r="B23" s="2">
        <f t="shared" si="5"/>
        <v>9500</v>
      </c>
    </row>
    <row r="24" spans="1:2" hidden="1" x14ac:dyDescent="0.2">
      <c r="A24" s="2">
        <v>1983</v>
      </c>
      <c r="B24" s="2">
        <f t="shared" si="5"/>
        <v>9500</v>
      </c>
    </row>
    <row r="25" spans="1:2" hidden="1" x14ac:dyDescent="0.2">
      <c r="A25" s="2">
        <v>1984</v>
      </c>
      <c r="B25" s="2">
        <f t="shared" si="5"/>
        <v>9500</v>
      </c>
    </row>
    <row r="26" spans="1:2" hidden="1" x14ac:dyDescent="0.2">
      <c r="A26" s="2">
        <v>1985</v>
      </c>
      <c r="B26" s="2">
        <f t="shared" si="5"/>
        <v>9500</v>
      </c>
    </row>
    <row r="27" spans="1:2" hidden="1" x14ac:dyDescent="0.2">
      <c r="A27" s="2">
        <v>1986</v>
      </c>
      <c r="B27" s="2">
        <f t="shared" si="5"/>
        <v>9500</v>
      </c>
    </row>
    <row r="28" spans="1:2" hidden="1" x14ac:dyDescent="0.2">
      <c r="A28" s="2">
        <v>1987</v>
      </c>
      <c r="B28" s="2">
        <f t="shared" si="5"/>
        <v>9500</v>
      </c>
    </row>
    <row r="29" spans="1:2" hidden="1" x14ac:dyDescent="0.2">
      <c r="A29" s="2">
        <v>1988</v>
      </c>
      <c r="B29" s="2">
        <f t="shared" si="5"/>
        <v>9500</v>
      </c>
    </row>
    <row r="30" spans="1:2" hidden="1" x14ac:dyDescent="0.2">
      <c r="A30" s="2">
        <v>1989</v>
      </c>
      <c r="B30" s="2">
        <f t="shared" si="5"/>
        <v>9500</v>
      </c>
    </row>
    <row r="31" spans="1:2" hidden="1" x14ac:dyDescent="0.2">
      <c r="A31" s="2">
        <v>1990</v>
      </c>
      <c r="B31" s="2">
        <f t="shared" si="5"/>
        <v>9500</v>
      </c>
    </row>
    <row r="32" spans="1:2" hidden="1" x14ac:dyDescent="0.2">
      <c r="A32" s="2">
        <v>1991</v>
      </c>
      <c r="B32" s="2">
        <f t="shared" si="5"/>
        <v>9500</v>
      </c>
    </row>
    <row r="33" spans="1:2" hidden="1" x14ac:dyDescent="0.2">
      <c r="A33" s="2">
        <v>1992</v>
      </c>
      <c r="B33" s="2">
        <f t="shared" si="5"/>
        <v>9500</v>
      </c>
    </row>
    <row r="34" spans="1:2" hidden="1" x14ac:dyDescent="0.2">
      <c r="A34" s="2">
        <v>1993</v>
      </c>
      <c r="B34" s="2">
        <f t="shared" si="5"/>
        <v>9500</v>
      </c>
    </row>
    <row r="35" spans="1:2" hidden="1" x14ac:dyDescent="0.2">
      <c r="A35" s="2">
        <v>1994</v>
      </c>
      <c r="B35" s="2">
        <f t="shared" si="5"/>
        <v>9500</v>
      </c>
    </row>
    <row r="36" spans="1:2" hidden="1" x14ac:dyDescent="0.2">
      <c r="A36" s="2">
        <v>1995</v>
      </c>
      <c r="B36" s="2">
        <f t="shared" si="5"/>
        <v>9500</v>
      </c>
    </row>
    <row r="37" spans="1:2" hidden="1" x14ac:dyDescent="0.2">
      <c r="A37" s="2">
        <v>1996</v>
      </c>
      <c r="B37" s="2">
        <f t="shared" si="5"/>
        <v>9500</v>
      </c>
    </row>
    <row r="38" spans="1:2" hidden="1" x14ac:dyDescent="0.2">
      <c r="A38" s="2">
        <v>1997</v>
      </c>
      <c r="B38" s="2">
        <f t="shared" si="5"/>
        <v>9500</v>
      </c>
    </row>
    <row r="39" spans="1:2" hidden="1" x14ac:dyDescent="0.2">
      <c r="A39" s="2">
        <v>1998</v>
      </c>
      <c r="B39" s="2">
        <f t="shared" si="5"/>
        <v>9500</v>
      </c>
    </row>
    <row r="40" spans="1:2" hidden="1" x14ac:dyDescent="0.2">
      <c r="A40" s="2">
        <v>1999</v>
      </c>
      <c r="B40" s="2">
        <f t="shared" si="5"/>
        <v>9500</v>
      </c>
    </row>
    <row r="41" spans="1:2" hidden="1" x14ac:dyDescent="0.2">
      <c r="A41" s="2">
        <v>2000</v>
      </c>
      <c r="B41" s="2">
        <f t="shared" si="5"/>
        <v>9500</v>
      </c>
    </row>
    <row r="42" spans="1:2" hidden="1" x14ac:dyDescent="0.2">
      <c r="A42" s="2">
        <v>2001</v>
      </c>
      <c r="B42" s="2">
        <f t="shared" si="5"/>
        <v>9500</v>
      </c>
    </row>
    <row r="43" spans="1:2" hidden="1" x14ac:dyDescent="0.2">
      <c r="A43" s="2">
        <v>2002</v>
      </c>
      <c r="B43" s="2">
        <f t="shared" si="5"/>
        <v>9500</v>
      </c>
    </row>
    <row r="44" spans="1:2" hidden="1" x14ac:dyDescent="0.2">
      <c r="A44" s="2">
        <v>2003</v>
      </c>
      <c r="B44" s="2">
        <f t="shared" si="5"/>
        <v>9500</v>
      </c>
    </row>
    <row r="45" spans="1:2" hidden="1" x14ac:dyDescent="0.2">
      <c r="A45" s="2">
        <v>2004</v>
      </c>
      <c r="B45" s="2">
        <f t="shared" si="5"/>
        <v>9500</v>
      </c>
    </row>
    <row r="46" spans="1:2" hidden="1" x14ac:dyDescent="0.2">
      <c r="A46" s="2">
        <v>2005</v>
      </c>
      <c r="B46" s="2">
        <f t="shared" si="5"/>
        <v>9500</v>
      </c>
    </row>
    <row r="47" spans="1:2" hidden="1" x14ac:dyDescent="0.2">
      <c r="A47" s="2">
        <v>2006</v>
      </c>
      <c r="B47" s="2">
        <f t="shared" si="5"/>
        <v>9500</v>
      </c>
    </row>
    <row r="48" spans="1:2" hidden="1" x14ac:dyDescent="0.2">
      <c r="A48" s="2">
        <v>2007</v>
      </c>
      <c r="B48" s="2">
        <f t="shared" si="5"/>
        <v>9500</v>
      </c>
    </row>
    <row r="49" spans="1:4" hidden="1" x14ac:dyDescent="0.2">
      <c r="A49" s="2">
        <v>2008</v>
      </c>
      <c r="B49" s="2">
        <f t="shared" si="5"/>
        <v>9500</v>
      </c>
    </row>
    <row r="50" spans="1:4" hidden="1" x14ac:dyDescent="0.2">
      <c r="A50" s="2">
        <v>2009</v>
      </c>
      <c r="B50" s="2">
        <f>B51</f>
        <v>9500</v>
      </c>
    </row>
    <row r="51" spans="1:4" x14ac:dyDescent="0.2">
      <c r="A51" s="2">
        <v>2010</v>
      </c>
      <c r="B51" s="276">
        <v>9500</v>
      </c>
      <c r="C51" s="275" t="s">
        <v>277</v>
      </c>
    </row>
    <row r="52" spans="1:4" x14ac:dyDescent="0.2">
      <c r="A52" s="2">
        <v>2011</v>
      </c>
      <c r="B52" s="276">
        <v>16700</v>
      </c>
    </row>
    <row r="53" spans="1:4" x14ac:dyDescent="0.2">
      <c r="A53" s="2">
        <v>2012</v>
      </c>
      <c r="B53" s="276">
        <v>16700</v>
      </c>
      <c r="D53" s="274" t="s">
        <v>279</v>
      </c>
    </row>
    <row r="54" spans="1:4" x14ac:dyDescent="0.2">
      <c r="A54" s="2">
        <v>2013</v>
      </c>
      <c r="B54" s="276">
        <v>16700</v>
      </c>
      <c r="D54" s="277" t="s">
        <v>278</v>
      </c>
    </row>
    <row r="55" spans="1:4" x14ac:dyDescent="0.2">
      <c r="A55" s="2">
        <v>2014</v>
      </c>
      <c r="B55" s="276">
        <v>20200</v>
      </c>
    </row>
    <row r="56" spans="1:4" x14ac:dyDescent="0.2">
      <c r="A56" s="2">
        <v>2015</v>
      </c>
      <c r="B56" s="276">
        <v>20200</v>
      </c>
    </row>
    <row r="57" spans="1:4" x14ac:dyDescent="0.2">
      <c r="A57" s="2">
        <v>2016</v>
      </c>
      <c r="B57" s="276">
        <v>20200</v>
      </c>
    </row>
    <row r="58" spans="1:4" x14ac:dyDescent="0.2">
      <c r="A58" s="2">
        <v>2017</v>
      </c>
      <c r="B58" s="276">
        <v>21400</v>
      </c>
    </row>
    <row r="59" spans="1:4" x14ac:dyDescent="0.2">
      <c r="A59" s="2">
        <v>2018</v>
      </c>
      <c r="B59" s="276">
        <v>21400</v>
      </c>
    </row>
    <row r="60" spans="1:4" x14ac:dyDescent="0.2">
      <c r="A60" s="2">
        <v>2019</v>
      </c>
      <c r="B60" s="276">
        <v>21400</v>
      </c>
    </row>
    <row r="61" spans="1:4" x14ac:dyDescent="0.2">
      <c r="A61" s="2">
        <v>2020</v>
      </c>
      <c r="B61" s="276"/>
    </row>
  </sheetData>
  <hyperlinks>
    <hyperlink ref="D54" r:id="rId1"/>
  </hyperlinks>
  <pageMargins left="0.7" right="0.7" top="0.75" bottom="0.75" header="0.3" footer="0.3"/>
  <pageSetup paperSize="9"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zoomScaleNormal="100" workbookViewId="0">
      <pane xSplit="3" ySplit="1" topLeftCell="D71" activePane="bottomRight" state="frozen"/>
      <selection pane="topRight" activeCell="E1" sqref="E1"/>
      <selection pane="bottomLeft" activeCell="A2" sqref="A2"/>
      <selection pane="bottomRight" activeCell="D83" sqref="D83"/>
    </sheetView>
  </sheetViews>
  <sheetFormatPr baseColWidth="10" defaultColWidth="11.42578125" defaultRowHeight="12.75" outlineLevelRow="1" x14ac:dyDescent="0.2"/>
  <cols>
    <col min="1" max="1" width="15.42578125" style="14" customWidth="1"/>
    <col min="2" max="2" width="5.42578125" style="14" bestFit="1" customWidth="1"/>
    <col min="3" max="3" width="13.42578125" style="14" customWidth="1"/>
    <col min="4" max="4" width="12.85546875" style="14" bestFit="1" customWidth="1"/>
    <col min="5" max="7" width="10.42578125" style="14" bestFit="1" customWidth="1"/>
    <col min="8" max="10" width="10.42578125" style="14" hidden="1" customWidth="1"/>
    <col min="11" max="11" width="11.42578125" style="14" bestFit="1" customWidth="1"/>
    <col min="12" max="16384" width="11.42578125" style="14"/>
  </cols>
  <sheetData>
    <row r="1" spans="1:13" x14ac:dyDescent="0.2">
      <c r="A1" s="14" t="s">
        <v>34</v>
      </c>
      <c r="B1" s="78" t="s">
        <v>20</v>
      </c>
      <c r="C1" s="78" t="s">
        <v>34</v>
      </c>
      <c r="D1" s="80" t="s">
        <v>126</v>
      </c>
      <c r="E1" s="80" t="s">
        <v>127</v>
      </c>
      <c r="F1" s="80" t="s">
        <v>128</v>
      </c>
      <c r="G1" s="80" t="s">
        <v>129</v>
      </c>
      <c r="H1" s="80" t="s">
        <v>130</v>
      </c>
      <c r="I1" s="80" t="s">
        <v>131</v>
      </c>
      <c r="J1" s="80" t="s">
        <v>132</v>
      </c>
      <c r="K1" s="26" t="s">
        <v>28</v>
      </c>
      <c r="M1" s="14" t="s">
        <v>57</v>
      </c>
    </row>
    <row r="2" spans="1:13" outlineLevel="1" x14ac:dyDescent="0.2">
      <c r="A2" s="14" t="s">
        <v>4</v>
      </c>
      <c r="B2" s="14">
        <v>0</v>
      </c>
      <c r="C2" s="103">
        <v>2017</v>
      </c>
      <c r="D2" s="107"/>
      <c r="E2" s="107">
        <v>1</v>
      </c>
      <c r="F2" s="107"/>
      <c r="G2" s="107"/>
      <c r="H2" s="107"/>
      <c r="I2" s="107"/>
      <c r="J2" s="107"/>
      <c r="K2" s="81">
        <f t="shared" ref="K2:K49" si="0">SUM(D2:J2)</f>
        <v>1</v>
      </c>
      <c r="M2" s="14" t="s">
        <v>208</v>
      </c>
    </row>
    <row r="3" spans="1:13" outlineLevel="1" x14ac:dyDescent="0.2">
      <c r="B3" s="14">
        <v>1</v>
      </c>
      <c r="C3" s="78" t="str">
        <f>$C$2-B3&amp;" etter 1.12."</f>
        <v>2016 etter 1.12.</v>
      </c>
      <c r="D3" s="107"/>
      <c r="E3" s="107"/>
      <c r="F3" s="107"/>
      <c r="G3" s="107"/>
      <c r="H3" s="107"/>
      <c r="I3" s="107"/>
      <c r="J3" s="107"/>
      <c r="K3" s="81">
        <f t="shared" si="0"/>
        <v>0</v>
      </c>
    </row>
    <row r="4" spans="1:13" outlineLevel="1" x14ac:dyDescent="0.2">
      <c r="B4" s="14">
        <v>1</v>
      </c>
      <c r="C4" s="78" t="str">
        <f>$C$2-B4&amp;" før 1.12."</f>
        <v>2016 før 1.12.</v>
      </c>
      <c r="D4" s="107"/>
      <c r="E4" s="107"/>
      <c r="F4" s="107"/>
      <c r="G4" s="107"/>
      <c r="H4" s="107"/>
      <c r="I4" s="107"/>
      <c r="J4" s="107"/>
      <c r="K4" s="81">
        <f t="shared" si="0"/>
        <v>0</v>
      </c>
    </row>
    <row r="5" spans="1:13" outlineLevel="1" x14ac:dyDescent="0.2">
      <c r="B5" s="14">
        <v>2</v>
      </c>
      <c r="C5" s="78">
        <f>$C$2-B5</f>
        <v>2015</v>
      </c>
      <c r="D5" s="107"/>
      <c r="E5" s="107"/>
      <c r="F5" s="107"/>
      <c r="G5" s="107"/>
      <c r="H5" s="107"/>
      <c r="I5" s="107"/>
      <c r="J5" s="107"/>
      <c r="K5" s="81">
        <f t="shared" si="0"/>
        <v>0</v>
      </c>
    </row>
    <row r="6" spans="1:13" outlineLevel="1" x14ac:dyDescent="0.2">
      <c r="B6" s="14">
        <v>3</v>
      </c>
      <c r="C6" s="78">
        <f>$C$2-B6</f>
        <v>2014</v>
      </c>
      <c r="D6" s="107"/>
      <c r="E6" s="107"/>
      <c r="F6" s="107"/>
      <c r="G6" s="107"/>
      <c r="H6" s="107"/>
      <c r="I6" s="107"/>
      <c r="J6" s="107"/>
      <c r="K6" s="81">
        <f t="shared" si="0"/>
        <v>0</v>
      </c>
    </row>
    <row r="7" spans="1:13" outlineLevel="1" x14ac:dyDescent="0.2">
      <c r="B7" s="14">
        <v>4</v>
      </c>
      <c r="C7" s="78">
        <f>$C$2-B7</f>
        <v>2013</v>
      </c>
      <c r="D7" s="107"/>
      <c r="E7" s="107"/>
      <c r="F7" s="107"/>
      <c r="G7" s="107"/>
      <c r="H7" s="107"/>
      <c r="I7" s="107"/>
      <c r="J7" s="107"/>
      <c r="K7" s="81">
        <f t="shared" si="0"/>
        <v>0</v>
      </c>
    </row>
    <row r="8" spans="1:13" outlineLevel="1" x14ac:dyDescent="0.2">
      <c r="B8" s="14">
        <v>5</v>
      </c>
      <c r="C8" s="78">
        <f>$C$2-B8</f>
        <v>2012</v>
      </c>
      <c r="D8" s="107"/>
      <c r="E8" s="107"/>
      <c r="F8" s="107"/>
      <c r="G8" s="107"/>
      <c r="H8" s="107"/>
      <c r="I8" s="107"/>
      <c r="J8" s="107"/>
      <c r="K8" s="81">
        <f t="shared" si="0"/>
        <v>0</v>
      </c>
    </row>
    <row r="9" spans="1:13" outlineLevel="1" x14ac:dyDescent="0.2">
      <c r="A9" s="82"/>
      <c r="B9" s="82">
        <v>6</v>
      </c>
      <c r="C9" s="83">
        <f>$C$2-B9</f>
        <v>2011</v>
      </c>
      <c r="D9" s="107"/>
      <c r="E9" s="107"/>
      <c r="F9" s="107"/>
      <c r="G9" s="107"/>
      <c r="H9" s="107"/>
      <c r="I9" s="107"/>
      <c r="J9" s="107"/>
      <c r="K9" s="81">
        <f t="shared" si="0"/>
        <v>0</v>
      </c>
    </row>
    <row r="10" spans="1:13" outlineLevel="1" x14ac:dyDescent="0.2">
      <c r="A10" s="78" t="s">
        <v>5</v>
      </c>
      <c r="B10" s="14">
        <v>0</v>
      </c>
      <c r="C10" s="78">
        <f t="shared" ref="C10:C18" si="1">$C$2-B10</f>
        <v>2017</v>
      </c>
      <c r="D10" s="107"/>
      <c r="E10" s="107"/>
      <c r="F10" s="107"/>
      <c r="G10" s="107"/>
      <c r="H10" s="107"/>
      <c r="I10" s="107"/>
      <c r="J10" s="107"/>
      <c r="K10" s="81">
        <f t="shared" si="0"/>
        <v>0</v>
      </c>
    </row>
    <row r="11" spans="1:13" outlineLevel="1" x14ac:dyDescent="0.2">
      <c r="A11" s="78"/>
      <c r="B11" s="14">
        <v>1</v>
      </c>
      <c r="C11" s="78" t="str">
        <f>$C$2-B11&amp;" etter 1.12."</f>
        <v>2016 etter 1.12.</v>
      </c>
      <c r="D11" s="107"/>
      <c r="E11" s="107"/>
      <c r="F11" s="107"/>
      <c r="G11" s="107"/>
      <c r="H11" s="107"/>
      <c r="I11" s="107"/>
      <c r="J11" s="107"/>
      <c r="K11" s="81">
        <f t="shared" si="0"/>
        <v>0</v>
      </c>
    </row>
    <row r="12" spans="1:13" outlineLevel="1" x14ac:dyDescent="0.2">
      <c r="A12" s="78"/>
      <c r="B12" s="14">
        <v>1</v>
      </c>
      <c r="C12" s="78" t="str">
        <f>$C$2-B12&amp;" før 1.12."</f>
        <v>2016 før 1.12.</v>
      </c>
      <c r="D12" s="107"/>
      <c r="E12" s="107"/>
      <c r="F12" s="107"/>
      <c r="G12" s="107"/>
      <c r="H12" s="107"/>
      <c r="I12" s="107"/>
      <c r="J12" s="107"/>
      <c r="K12" s="81">
        <f t="shared" si="0"/>
        <v>0</v>
      </c>
    </row>
    <row r="13" spans="1:13" outlineLevel="1" x14ac:dyDescent="0.2">
      <c r="B13" s="14">
        <v>2</v>
      </c>
      <c r="C13" s="78">
        <f>$C$2-B13</f>
        <v>2015</v>
      </c>
      <c r="D13" s="107"/>
      <c r="E13" s="107"/>
      <c r="F13" s="107"/>
      <c r="G13" s="107"/>
      <c r="H13" s="107"/>
      <c r="I13" s="107"/>
      <c r="J13" s="107"/>
      <c r="K13" s="81">
        <f t="shared" si="0"/>
        <v>0</v>
      </c>
    </row>
    <row r="14" spans="1:13" outlineLevel="1" x14ac:dyDescent="0.2">
      <c r="B14" s="14">
        <v>3</v>
      </c>
      <c r="C14" s="78">
        <f>$C$2-B14</f>
        <v>2014</v>
      </c>
      <c r="D14" s="107"/>
      <c r="E14" s="107"/>
      <c r="F14" s="107"/>
      <c r="G14" s="107"/>
      <c r="H14" s="107"/>
      <c r="I14" s="107"/>
      <c r="J14" s="107"/>
      <c r="K14" s="81">
        <f t="shared" si="0"/>
        <v>0</v>
      </c>
    </row>
    <row r="15" spans="1:13" outlineLevel="1" x14ac:dyDescent="0.2">
      <c r="B15" s="14">
        <v>4</v>
      </c>
      <c r="C15" s="78">
        <f>$C$2-B15</f>
        <v>2013</v>
      </c>
      <c r="D15" s="107"/>
      <c r="E15" s="107"/>
      <c r="F15" s="107"/>
      <c r="G15" s="107"/>
      <c r="H15" s="107"/>
      <c r="I15" s="107"/>
      <c r="J15" s="107"/>
      <c r="K15" s="81">
        <f t="shared" si="0"/>
        <v>0</v>
      </c>
    </row>
    <row r="16" spans="1:13" outlineLevel="1" x14ac:dyDescent="0.2">
      <c r="B16" s="14">
        <v>5</v>
      </c>
      <c r="C16" s="78">
        <f>$C$2-B16</f>
        <v>2012</v>
      </c>
      <c r="D16" s="107"/>
      <c r="E16" s="107"/>
      <c r="F16" s="107"/>
      <c r="G16" s="107"/>
      <c r="H16" s="107"/>
      <c r="I16" s="107"/>
      <c r="J16" s="107"/>
      <c r="K16" s="81">
        <f t="shared" si="0"/>
        <v>0</v>
      </c>
    </row>
    <row r="17" spans="1:11" outlineLevel="1" x14ac:dyDescent="0.2">
      <c r="A17" s="82"/>
      <c r="B17" s="82">
        <v>6</v>
      </c>
      <c r="C17" s="83">
        <f>$C$2-B17</f>
        <v>2011</v>
      </c>
      <c r="D17" s="107"/>
      <c r="E17" s="107"/>
      <c r="F17" s="107"/>
      <c r="G17" s="107"/>
      <c r="H17" s="107"/>
      <c r="I17" s="107"/>
      <c r="J17" s="107"/>
      <c r="K17" s="81">
        <f t="shared" si="0"/>
        <v>0</v>
      </c>
    </row>
    <row r="18" spans="1:11" outlineLevel="1" x14ac:dyDescent="0.2">
      <c r="A18" s="78" t="s">
        <v>6</v>
      </c>
      <c r="B18" s="14">
        <v>0</v>
      </c>
      <c r="C18" s="78">
        <f t="shared" si="1"/>
        <v>2017</v>
      </c>
      <c r="D18" s="107"/>
      <c r="E18" s="107"/>
      <c r="F18" s="107"/>
      <c r="G18" s="107"/>
      <c r="H18" s="107"/>
      <c r="I18" s="107"/>
      <c r="J18" s="107"/>
      <c r="K18" s="81">
        <f t="shared" si="0"/>
        <v>0</v>
      </c>
    </row>
    <row r="19" spans="1:11" outlineLevel="1" x14ac:dyDescent="0.2">
      <c r="B19" s="14">
        <v>1</v>
      </c>
      <c r="C19" s="78" t="str">
        <f>$C$2-B19&amp;" etter 1.12."</f>
        <v>2016 etter 1.12.</v>
      </c>
      <c r="D19" s="107"/>
      <c r="E19" s="107"/>
      <c r="F19" s="107"/>
      <c r="G19" s="107">
        <v>2</v>
      </c>
      <c r="H19" s="107"/>
      <c r="I19" s="107"/>
      <c r="J19" s="107"/>
      <c r="K19" s="81">
        <f t="shared" si="0"/>
        <v>2</v>
      </c>
    </row>
    <row r="20" spans="1:11" outlineLevel="1" x14ac:dyDescent="0.2">
      <c r="B20" s="14">
        <v>1</v>
      </c>
      <c r="C20" s="78" t="str">
        <f>$C$2-B20&amp;" før 1.12."</f>
        <v>2016 før 1.12.</v>
      </c>
      <c r="D20" s="107"/>
      <c r="E20" s="107"/>
      <c r="F20" s="107"/>
      <c r="G20" s="107"/>
      <c r="H20" s="107"/>
      <c r="I20" s="107"/>
      <c r="J20" s="107"/>
      <c r="K20" s="81">
        <f t="shared" si="0"/>
        <v>0</v>
      </c>
    </row>
    <row r="21" spans="1:11" outlineLevel="1" x14ac:dyDescent="0.2">
      <c r="B21" s="14">
        <v>2</v>
      </c>
      <c r="C21" s="78">
        <f>$C$2-B21</f>
        <v>2015</v>
      </c>
      <c r="D21" s="107"/>
      <c r="E21" s="107"/>
      <c r="F21" s="107"/>
      <c r="G21" s="107"/>
      <c r="H21" s="107"/>
      <c r="I21" s="107"/>
      <c r="J21" s="107"/>
      <c r="K21" s="81">
        <f t="shared" si="0"/>
        <v>0</v>
      </c>
    </row>
    <row r="22" spans="1:11" outlineLevel="1" x14ac:dyDescent="0.2">
      <c r="B22" s="14">
        <v>3</v>
      </c>
      <c r="C22" s="78">
        <f>$C$2-B22</f>
        <v>2014</v>
      </c>
      <c r="D22" s="107"/>
      <c r="E22" s="107"/>
      <c r="F22" s="107">
        <v>1</v>
      </c>
      <c r="G22" s="107">
        <v>1</v>
      </c>
      <c r="H22" s="107"/>
      <c r="I22" s="107"/>
      <c r="J22" s="107"/>
      <c r="K22" s="81">
        <f t="shared" si="0"/>
        <v>2</v>
      </c>
    </row>
    <row r="23" spans="1:11" outlineLevel="1" x14ac:dyDescent="0.2">
      <c r="B23" s="14">
        <v>4</v>
      </c>
      <c r="C23" s="78">
        <f>$C$2-B23</f>
        <v>2013</v>
      </c>
      <c r="D23" s="107"/>
      <c r="E23" s="107"/>
      <c r="F23" s="107"/>
      <c r="G23" s="107">
        <v>3</v>
      </c>
      <c r="H23" s="107"/>
      <c r="I23" s="107"/>
      <c r="J23" s="107"/>
      <c r="K23" s="81">
        <f t="shared" si="0"/>
        <v>3</v>
      </c>
    </row>
    <row r="24" spans="1:11" outlineLevel="1" x14ac:dyDescent="0.2">
      <c r="B24" s="14">
        <v>5</v>
      </c>
      <c r="C24" s="78">
        <f>$C$2-B24</f>
        <v>2012</v>
      </c>
      <c r="D24" s="107"/>
      <c r="E24" s="107"/>
      <c r="F24" s="107"/>
      <c r="G24" s="107"/>
      <c r="H24" s="107"/>
      <c r="I24" s="107"/>
      <c r="J24" s="107"/>
      <c r="K24" s="81">
        <f t="shared" si="0"/>
        <v>0</v>
      </c>
    </row>
    <row r="25" spans="1:11" outlineLevel="1" x14ac:dyDescent="0.2">
      <c r="A25" s="82"/>
      <c r="B25" s="82">
        <v>6</v>
      </c>
      <c r="C25" s="83">
        <f>$C$2-B25</f>
        <v>2011</v>
      </c>
      <c r="D25" s="107"/>
      <c r="E25" s="107"/>
      <c r="F25" s="107"/>
      <c r="G25" s="107">
        <v>1</v>
      </c>
      <c r="H25" s="107"/>
      <c r="I25" s="107"/>
      <c r="J25" s="107"/>
      <c r="K25" s="81">
        <f t="shared" si="0"/>
        <v>1</v>
      </c>
    </row>
    <row r="26" spans="1:11" outlineLevel="1" x14ac:dyDescent="0.2">
      <c r="A26" s="78" t="s">
        <v>7</v>
      </c>
      <c r="B26" s="14">
        <v>0</v>
      </c>
      <c r="C26" s="78">
        <f t="shared" ref="C26" si="2">$C$2-B26</f>
        <v>2017</v>
      </c>
      <c r="D26" s="107"/>
      <c r="E26" s="107"/>
      <c r="F26" s="107"/>
      <c r="G26" s="107"/>
      <c r="H26" s="107"/>
      <c r="I26" s="107"/>
      <c r="J26" s="107"/>
      <c r="K26" s="81">
        <f t="shared" si="0"/>
        <v>0</v>
      </c>
    </row>
    <row r="27" spans="1:11" outlineLevel="1" x14ac:dyDescent="0.2">
      <c r="B27" s="14">
        <v>1</v>
      </c>
      <c r="C27" s="78" t="str">
        <f>$C$2-B27&amp;" etter 1.12."</f>
        <v>2016 etter 1.12.</v>
      </c>
      <c r="D27" s="107"/>
      <c r="E27" s="107"/>
      <c r="F27" s="107"/>
      <c r="G27" s="107"/>
      <c r="H27" s="107"/>
      <c r="I27" s="107"/>
      <c r="J27" s="107"/>
      <c r="K27" s="81">
        <f t="shared" si="0"/>
        <v>0</v>
      </c>
    </row>
    <row r="28" spans="1:11" outlineLevel="1" x14ac:dyDescent="0.2">
      <c r="B28" s="14">
        <v>1</v>
      </c>
      <c r="C28" s="78" t="str">
        <f>$C$2-B28&amp;" før 1.12."</f>
        <v>2016 før 1.12.</v>
      </c>
      <c r="D28" s="107"/>
      <c r="E28" s="107"/>
      <c r="F28" s="107"/>
      <c r="G28" s="107"/>
      <c r="H28" s="107"/>
      <c r="I28" s="107"/>
      <c r="J28" s="107"/>
      <c r="K28" s="81">
        <f t="shared" si="0"/>
        <v>0</v>
      </c>
    </row>
    <row r="29" spans="1:11" outlineLevel="1" x14ac:dyDescent="0.2">
      <c r="B29" s="14">
        <v>2</v>
      </c>
      <c r="C29" s="78">
        <f>$C$2-B29</f>
        <v>2015</v>
      </c>
      <c r="D29" s="107"/>
      <c r="E29" s="107"/>
      <c r="F29" s="107"/>
      <c r="G29" s="107"/>
      <c r="H29" s="107"/>
      <c r="I29" s="107"/>
      <c r="J29" s="107"/>
      <c r="K29" s="81">
        <f t="shared" si="0"/>
        <v>0</v>
      </c>
    </row>
    <row r="30" spans="1:11" outlineLevel="1" x14ac:dyDescent="0.2">
      <c r="B30" s="14">
        <v>3</v>
      </c>
      <c r="C30" s="78">
        <f>$C$2-B30</f>
        <v>2014</v>
      </c>
      <c r="D30" s="107"/>
      <c r="E30" s="107"/>
      <c r="F30" s="107"/>
      <c r="G30" s="107"/>
      <c r="H30" s="107"/>
      <c r="I30" s="107"/>
      <c r="J30" s="107"/>
      <c r="K30" s="81">
        <f t="shared" si="0"/>
        <v>0</v>
      </c>
    </row>
    <row r="31" spans="1:11" outlineLevel="1" x14ac:dyDescent="0.2">
      <c r="B31" s="14">
        <v>4</v>
      </c>
      <c r="C31" s="78">
        <f>$C$2-B31</f>
        <v>2013</v>
      </c>
      <c r="D31" s="107"/>
      <c r="E31" s="107"/>
      <c r="F31" s="107"/>
      <c r="G31" s="107"/>
      <c r="H31" s="107"/>
      <c r="I31" s="107"/>
      <c r="J31" s="107"/>
      <c r="K31" s="81">
        <f t="shared" si="0"/>
        <v>0</v>
      </c>
    </row>
    <row r="32" spans="1:11" outlineLevel="1" x14ac:dyDescent="0.2">
      <c r="B32" s="14">
        <v>5</v>
      </c>
      <c r="C32" s="78">
        <f>$C$2-B32</f>
        <v>2012</v>
      </c>
      <c r="D32" s="107"/>
      <c r="E32" s="107"/>
      <c r="F32" s="107"/>
      <c r="G32" s="107"/>
      <c r="H32" s="107"/>
      <c r="I32" s="107"/>
      <c r="J32" s="107"/>
      <c r="K32" s="81">
        <f t="shared" si="0"/>
        <v>0</v>
      </c>
    </row>
    <row r="33" spans="1:11" outlineLevel="1" x14ac:dyDescent="0.2">
      <c r="A33" s="82"/>
      <c r="B33" s="82">
        <v>6</v>
      </c>
      <c r="C33" s="83">
        <f>$C$2-B33</f>
        <v>2011</v>
      </c>
      <c r="D33" s="107"/>
      <c r="E33" s="107"/>
      <c r="F33" s="107"/>
      <c r="G33" s="107"/>
      <c r="H33" s="107"/>
      <c r="I33" s="107"/>
      <c r="J33" s="107"/>
      <c r="K33" s="81">
        <f t="shared" si="0"/>
        <v>0</v>
      </c>
    </row>
    <row r="34" spans="1:11" outlineLevel="1" x14ac:dyDescent="0.2">
      <c r="A34" s="78" t="s">
        <v>8</v>
      </c>
      <c r="B34" s="14">
        <v>0</v>
      </c>
      <c r="C34" s="78">
        <f t="shared" ref="C34" si="3">$C$2-B34</f>
        <v>2017</v>
      </c>
      <c r="D34" s="107"/>
      <c r="E34" s="107"/>
      <c r="F34" s="107"/>
      <c r="G34" s="107"/>
      <c r="H34" s="107"/>
      <c r="I34" s="107"/>
      <c r="J34" s="107"/>
      <c r="K34" s="81">
        <f t="shared" si="0"/>
        <v>0</v>
      </c>
    </row>
    <row r="35" spans="1:11" outlineLevel="1" x14ac:dyDescent="0.2">
      <c r="B35" s="14">
        <v>1</v>
      </c>
      <c r="C35" s="78" t="str">
        <f>$C$2-B35&amp;" etter 1.12."</f>
        <v>2016 etter 1.12.</v>
      </c>
      <c r="D35" s="107">
        <v>1</v>
      </c>
      <c r="E35" s="107"/>
      <c r="F35" s="107"/>
      <c r="G35" s="107"/>
      <c r="H35" s="107"/>
      <c r="I35" s="107"/>
      <c r="J35" s="107"/>
      <c r="K35" s="81">
        <f t="shared" si="0"/>
        <v>1</v>
      </c>
    </row>
    <row r="36" spans="1:11" outlineLevel="1" x14ac:dyDescent="0.2">
      <c r="B36" s="14">
        <v>1</v>
      </c>
      <c r="C36" s="78" t="str">
        <f>$C$2-B36&amp;" før 1.12."</f>
        <v>2016 før 1.12.</v>
      </c>
      <c r="D36" s="107"/>
      <c r="E36" s="107"/>
      <c r="F36" s="107"/>
      <c r="G36" s="107"/>
      <c r="H36" s="107"/>
      <c r="I36" s="107"/>
      <c r="J36" s="107"/>
      <c r="K36" s="81">
        <f t="shared" si="0"/>
        <v>0</v>
      </c>
    </row>
    <row r="37" spans="1:11" outlineLevel="1" x14ac:dyDescent="0.2">
      <c r="B37" s="14">
        <v>2</v>
      </c>
      <c r="C37" s="78">
        <f>$C$2-B37</f>
        <v>2015</v>
      </c>
      <c r="D37" s="107">
        <v>1</v>
      </c>
      <c r="E37" s="107"/>
      <c r="F37" s="107"/>
      <c r="G37" s="107"/>
      <c r="H37" s="107"/>
      <c r="I37" s="107"/>
      <c r="J37" s="107"/>
      <c r="K37" s="81">
        <f t="shared" si="0"/>
        <v>1</v>
      </c>
    </row>
    <row r="38" spans="1:11" outlineLevel="1" x14ac:dyDescent="0.2">
      <c r="B38" s="14">
        <v>3</v>
      </c>
      <c r="C38" s="78">
        <f>$C$2-B38</f>
        <v>2014</v>
      </c>
      <c r="D38" s="107"/>
      <c r="E38" s="107"/>
      <c r="F38" s="107">
        <v>2</v>
      </c>
      <c r="G38" s="107"/>
      <c r="H38" s="107"/>
      <c r="I38" s="107"/>
      <c r="J38" s="107"/>
      <c r="K38" s="81">
        <f t="shared" si="0"/>
        <v>2</v>
      </c>
    </row>
    <row r="39" spans="1:11" outlineLevel="1" x14ac:dyDescent="0.2">
      <c r="B39" s="14">
        <v>4</v>
      </c>
      <c r="C39" s="78">
        <f>$C$2-B39</f>
        <v>2013</v>
      </c>
      <c r="D39" s="107"/>
      <c r="E39" s="107"/>
      <c r="F39" s="107">
        <v>1</v>
      </c>
      <c r="G39" s="107"/>
      <c r="H39" s="107"/>
      <c r="I39" s="107"/>
      <c r="J39" s="107"/>
      <c r="K39" s="81">
        <f t="shared" si="0"/>
        <v>1</v>
      </c>
    </row>
    <row r="40" spans="1:11" outlineLevel="1" x14ac:dyDescent="0.2">
      <c r="B40" s="14">
        <v>5</v>
      </c>
      <c r="C40" s="78">
        <f>$C$2-B40</f>
        <v>2012</v>
      </c>
      <c r="D40" s="107"/>
      <c r="E40" s="107"/>
      <c r="F40" s="107"/>
      <c r="G40" s="107"/>
      <c r="H40" s="107"/>
      <c r="I40" s="107"/>
      <c r="J40" s="107"/>
      <c r="K40" s="81">
        <f t="shared" si="0"/>
        <v>0</v>
      </c>
    </row>
    <row r="41" spans="1:11" outlineLevel="1" x14ac:dyDescent="0.2">
      <c r="A41" s="82"/>
      <c r="B41" s="82">
        <v>6</v>
      </c>
      <c r="C41" s="83">
        <f>$C$2-B41</f>
        <v>2011</v>
      </c>
      <c r="D41" s="107">
        <v>1</v>
      </c>
      <c r="E41" s="107"/>
      <c r="F41" s="107"/>
      <c r="G41" s="107"/>
      <c r="H41" s="107"/>
      <c r="I41" s="107"/>
      <c r="J41" s="107"/>
      <c r="K41" s="81">
        <f t="shared" si="0"/>
        <v>1</v>
      </c>
    </row>
    <row r="42" spans="1:11" outlineLevel="1" x14ac:dyDescent="0.2">
      <c r="A42" s="83" t="s">
        <v>9</v>
      </c>
      <c r="B42" s="14">
        <v>0</v>
      </c>
      <c r="C42" s="78">
        <f t="shared" ref="C42" si="4">$C$2-B42</f>
        <v>2017</v>
      </c>
      <c r="D42" s="107">
        <v>1</v>
      </c>
      <c r="E42" s="107"/>
      <c r="F42" s="107">
        <v>1</v>
      </c>
      <c r="G42" s="107"/>
      <c r="H42" s="107"/>
      <c r="I42" s="107"/>
      <c r="J42" s="107"/>
      <c r="K42" s="81">
        <f t="shared" si="0"/>
        <v>2</v>
      </c>
    </row>
    <row r="43" spans="1:11" outlineLevel="1" x14ac:dyDescent="0.2">
      <c r="B43" s="14">
        <v>1</v>
      </c>
      <c r="C43" s="78" t="str">
        <f>$C$2-B43&amp;" etter 1.12."</f>
        <v>2016 etter 1.12.</v>
      </c>
      <c r="D43" s="107">
        <v>7</v>
      </c>
      <c r="E43" s="107">
        <v>7</v>
      </c>
      <c r="F43" s="107">
        <v>8</v>
      </c>
      <c r="G43" s="107">
        <v>7</v>
      </c>
      <c r="H43" s="107"/>
      <c r="I43" s="107"/>
      <c r="J43" s="107"/>
      <c r="K43" s="81">
        <f t="shared" si="0"/>
        <v>29</v>
      </c>
    </row>
    <row r="44" spans="1:11" outlineLevel="1" x14ac:dyDescent="0.2">
      <c r="B44" s="14">
        <v>1</v>
      </c>
      <c r="C44" s="78" t="str">
        <f>$C$2-B44&amp;" før 1.12."</f>
        <v>2016 før 1.12.</v>
      </c>
      <c r="D44" s="107"/>
      <c r="E44" s="107"/>
      <c r="F44" s="107"/>
      <c r="G44" s="107"/>
      <c r="H44" s="107"/>
      <c r="I44" s="107"/>
      <c r="J44" s="107"/>
      <c r="K44" s="81">
        <f t="shared" si="0"/>
        <v>0</v>
      </c>
    </row>
    <row r="45" spans="1:11" outlineLevel="1" x14ac:dyDescent="0.2">
      <c r="B45" s="14">
        <v>2</v>
      </c>
      <c r="C45" s="78">
        <f>$C$2-B45</f>
        <v>2015</v>
      </c>
      <c r="D45" s="107">
        <v>9</v>
      </c>
      <c r="E45" s="107">
        <v>9</v>
      </c>
      <c r="F45" s="107">
        <v>5</v>
      </c>
      <c r="G45" s="107">
        <v>8</v>
      </c>
      <c r="H45" s="107"/>
      <c r="I45" s="107"/>
      <c r="J45" s="107"/>
      <c r="K45" s="81">
        <f t="shared" si="0"/>
        <v>31</v>
      </c>
    </row>
    <row r="46" spans="1:11" outlineLevel="1" x14ac:dyDescent="0.2">
      <c r="B46" s="14">
        <v>3</v>
      </c>
      <c r="C46" s="78">
        <f>$C$2-B46</f>
        <v>2014</v>
      </c>
      <c r="D46" s="107">
        <v>5</v>
      </c>
      <c r="E46" s="107">
        <v>9</v>
      </c>
      <c r="F46" s="107">
        <v>8</v>
      </c>
      <c r="G46" s="107">
        <v>10</v>
      </c>
      <c r="H46" s="107"/>
      <c r="I46" s="107"/>
      <c r="J46" s="107"/>
      <c r="K46" s="81">
        <f t="shared" si="0"/>
        <v>32</v>
      </c>
    </row>
    <row r="47" spans="1:11" outlineLevel="1" x14ac:dyDescent="0.2">
      <c r="B47" s="14">
        <v>4</v>
      </c>
      <c r="C47" s="78">
        <f>$C$2-B47</f>
        <v>2013</v>
      </c>
      <c r="D47" s="107">
        <v>7</v>
      </c>
      <c r="E47" s="107">
        <v>9</v>
      </c>
      <c r="F47" s="107">
        <v>9</v>
      </c>
      <c r="G47" s="107">
        <v>8</v>
      </c>
      <c r="H47" s="107"/>
      <c r="I47" s="107"/>
      <c r="J47" s="107"/>
      <c r="K47" s="81">
        <f t="shared" si="0"/>
        <v>33</v>
      </c>
    </row>
    <row r="48" spans="1:11" outlineLevel="1" x14ac:dyDescent="0.2">
      <c r="B48" s="14">
        <v>5</v>
      </c>
      <c r="C48" s="78">
        <f>$C$2-B48</f>
        <v>2012</v>
      </c>
      <c r="D48" s="107">
        <v>8</v>
      </c>
      <c r="E48" s="107">
        <v>9</v>
      </c>
      <c r="F48" s="107">
        <v>10</v>
      </c>
      <c r="G48" s="107">
        <v>9</v>
      </c>
      <c r="H48" s="107"/>
      <c r="I48" s="107"/>
      <c r="J48" s="107"/>
      <c r="K48" s="81">
        <f t="shared" si="0"/>
        <v>36</v>
      </c>
    </row>
    <row r="49" spans="1:11" outlineLevel="1" x14ac:dyDescent="0.2">
      <c r="A49" s="82"/>
      <c r="B49" s="82">
        <v>6</v>
      </c>
      <c r="C49" s="83">
        <f>$C$2-B49</f>
        <v>2011</v>
      </c>
      <c r="D49" s="107">
        <v>8</v>
      </c>
      <c r="E49" s="107">
        <v>9</v>
      </c>
      <c r="F49" s="107">
        <v>8</v>
      </c>
      <c r="G49" s="107">
        <v>9</v>
      </c>
      <c r="H49" s="107"/>
      <c r="I49" s="107"/>
      <c r="J49" s="107"/>
      <c r="K49" s="81">
        <f t="shared" si="0"/>
        <v>34</v>
      </c>
    </row>
    <row r="50" spans="1:11" ht="13.5" outlineLevel="1" thickBot="1" x14ac:dyDescent="0.25">
      <c r="A50" s="89"/>
      <c r="B50" s="89"/>
      <c r="C50" s="90" t="s">
        <v>0</v>
      </c>
      <c r="D50" s="89">
        <f t="shared" ref="D50:K50" si="5">SUM(D2:D49)</f>
        <v>48</v>
      </c>
      <c r="E50" s="89">
        <f t="shared" si="5"/>
        <v>53</v>
      </c>
      <c r="F50" s="89">
        <f t="shared" si="5"/>
        <v>53</v>
      </c>
      <c r="G50" s="89">
        <f t="shared" si="5"/>
        <v>58</v>
      </c>
      <c r="H50" s="89">
        <f t="shared" si="5"/>
        <v>0</v>
      </c>
      <c r="I50" s="89">
        <f t="shared" si="5"/>
        <v>0</v>
      </c>
      <c r="J50" s="89">
        <f t="shared" si="5"/>
        <v>0</v>
      </c>
      <c r="K50" s="89">
        <f t="shared" si="5"/>
        <v>212</v>
      </c>
    </row>
    <row r="51" spans="1:11" ht="13.5" outlineLevel="1" thickTop="1" x14ac:dyDescent="0.2">
      <c r="A51" s="87" t="s">
        <v>1</v>
      </c>
      <c r="B51" s="87"/>
      <c r="C51" s="104" t="s">
        <v>122</v>
      </c>
      <c r="D51" s="87" t="str">
        <f t="shared" ref="D51:K51" si="6">D1</f>
        <v>Privat 1</v>
      </c>
      <c r="E51" s="87" t="str">
        <f t="shared" si="6"/>
        <v>Privat 2</v>
      </c>
      <c r="F51" s="87" t="str">
        <f t="shared" si="6"/>
        <v>Privat 3</v>
      </c>
      <c r="G51" s="87" t="str">
        <f t="shared" si="6"/>
        <v>Privat 4</v>
      </c>
      <c r="H51" s="87" t="str">
        <f t="shared" si="6"/>
        <v>Privat 5</v>
      </c>
      <c r="I51" s="87" t="str">
        <f t="shared" si="6"/>
        <v>Privat 6</v>
      </c>
      <c r="J51" s="87" t="str">
        <f t="shared" si="6"/>
        <v>Privat 7</v>
      </c>
      <c r="K51" s="87" t="str">
        <f t="shared" si="6"/>
        <v>Sum</v>
      </c>
    </row>
    <row r="52" spans="1:11" outlineLevel="1" x14ac:dyDescent="0.2">
      <c r="A52" s="78" t="s">
        <v>4</v>
      </c>
      <c r="B52" s="84"/>
      <c r="C52" s="88">
        <f>6/45</f>
        <v>0.13333333333333333</v>
      </c>
      <c r="D52" s="84">
        <f t="shared" ref="D52:K52" si="7">SUM(D2:D5)</f>
        <v>0</v>
      </c>
      <c r="E52" s="84">
        <f t="shared" si="7"/>
        <v>1</v>
      </c>
      <c r="F52" s="84">
        <f t="shared" si="7"/>
        <v>0</v>
      </c>
      <c r="G52" s="84">
        <f t="shared" si="7"/>
        <v>0</v>
      </c>
      <c r="H52" s="84">
        <f t="shared" si="7"/>
        <v>0</v>
      </c>
      <c r="I52" s="84">
        <f t="shared" si="7"/>
        <v>0</v>
      </c>
      <c r="J52" s="84">
        <f t="shared" si="7"/>
        <v>0</v>
      </c>
      <c r="K52" s="84">
        <f t="shared" si="7"/>
        <v>1</v>
      </c>
    </row>
    <row r="53" spans="1:11" outlineLevel="1" x14ac:dyDescent="0.2">
      <c r="A53" s="78" t="s">
        <v>5</v>
      </c>
      <c r="B53" s="84"/>
      <c r="C53" s="88">
        <f>13/45</f>
        <v>0.28888888888888886</v>
      </c>
      <c r="D53" s="84">
        <f t="shared" ref="D53:K53" si="8">SUM(D10:D13)</f>
        <v>0</v>
      </c>
      <c r="E53" s="84">
        <f t="shared" si="8"/>
        <v>0</v>
      </c>
      <c r="F53" s="84">
        <f t="shared" si="8"/>
        <v>0</v>
      </c>
      <c r="G53" s="84">
        <f t="shared" si="8"/>
        <v>0</v>
      </c>
      <c r="H53" s="84">
        <f t="shared" si="8"/>
        <v>0</v>
      </c>
      <c r="I53" s="84">
        <f t="shared" si="8"/>
        <v>0</v>
      </c>
      <c r="J53" s="84">
        <f t="shared" si="8"/>
        <v>0</v>
      </c>
      <c r="K53" s="84">
        <f t="shared" si="8"/>
        <v>0</v>
      </c>
    </row>
    <row r="54" spans="1:11" outlineLevel="1" x14ac:dyDescent="0.2">
      <c r="A54" s="78" t="s">
        <v>6</v>
      </c>
      <c r="B54" s="84"/>
      <c r="C54" s="88">
        <f>21/45</f>
        <v>0.46666666666666667</v>
      </c>
      <c r="D54" s="84">
        <f>SUM(D18:D21)</f>
        <v>0</v>
      </c>
      <c r="E54" s="84">
        <f t="shared" ref="E54:K54" si="9">SUM(E18:E21)</f>
        <v>0</v>
      </c>
      <c r="F54" s="84">
        <f t="shared" si="9"/>
        <v>0</v>
      </c>
      <c r="G54" s="84">
        <f t="shared" si="9"/>
        <v>2</v>
      </c>
      <c r="H54" s="84">
        <f t="shared" si="9"/>
        <v>0</v>
      </c>
      <c r="I54" s="84">
        <f t="shared" si="9"/>
        <v>0</v>
      </c>
      <c r="J54" s="84">
        <f t="shared" si="9"/>
        <v>0</v>
      </c>
      <c r="K54" s="84">
        <f t="shared" si="9"/>
        <v>2</v>
      </c>
    </row>
    <row r="55" spans="1:11" outlineLevel="1" x14ac:dyDescent="0.2">
      <c r="A55" s="78" t="s">
        <v>7</v>
      </c>
      <c r="B55" s="84"/>
      <c r="C55" s="88">
        <f>29/45</f>
        <v>0.64444444444444449</v>
      </c>
      <c r="D55" s="84">
        <f>SUM(D26:D29)</f>
        <v>0</v>
      </c>
      <c r="E55" s="84">
        <f t="shared" ref="E55:K55" si="10">SUM(E26:E29)</f>
        <v>0</v>
      </c>
      <c r="F55" s="84">
        <f t="shared" si="10"/>
        <v>0</v>
      </c>
      <c r="G55" s="84">
        <f t="shared" si="10"/>
        <v>0</v>
      </c>
      <c r="H55" s="84">
        <f t="shared" si="10"/>
        <v>0</v>
      </c>
      <c r="I55" s="84">
        <f t="shared" si="10"/>
        <v>0</v>
      </c>
      <c r="J55" s="84">
        <f t="shared" si="10"/>
        <v>0</v>
      </c>
      <c r="K55" s="84">
        <f t="shared" si="10"/>
        <v>0</v>
      </c>
    </row>
    <row r="56" spans="1:11" outlineLevel="1" x14ac:dyDescent="0.2">
      <c r="A56" s="78" t="s">
        <v>8</v>
      </c>
      <c r="B56" s="84"/>
      <c r="C56" s="88">
        <f>37/45</f>
        <v>0.82222222222222219</v>
      </c>
      <c r="D56" s="84">
        <f>SUM(D34:D37)</f>
        <v>2</v>
      </c>
      <c r="E56" s="84">
        <f t="shared" ref="E56:K56" si="11">SUM(E34:E37)</f>
        <v>0</v>
      </c>
      <c r="F56" s="84">
        <f t="shared" si="11"/>
        <v>0</v>
      </c>
      <c r="G56" s="84">
        <f t="shared" si="11"/>
        <v>0</v>
      </c>
      <c r="H56" s="84">
        <f t="shared" si="11"/>
        <v>0</v>
      </c>
      <c r="I56" s="84">
        <f t="shared" si="11"/>
        <v>0</v>
      </c>
      <c r="J56" s="84">
        <f t="shared" si="11"/>
        <v>0</v>
      </c>
      <c r="K56" s="84">
        <f t="shared" si="11"/>
        <v>2</v>
      </c>
    </row>
    <row r="57" spans="1:11" outlineLevel="1" x14ac:dyDescent="0.2">
      <c r="A57" s="85" t="s">
        <v>9</v>
      </c>
      <c r="B57" s="84"/>
      <c r="C57" s="88">
        <f>45/45</f>
        <v>1</v>
      </c>
      <c r="D57" s="84">
        <f>SUM(D42:D45)</f>
        <v>17</v>
      </c>
      <c r="E57" s="84">
        <f t="shared" ref="E57:K57" si="12">SUM(E42:E45)</f>
        <v>16</v>
      </c>
      <c r="F57" s="84">
        <f t="shared" si="12"/>
        <v>14</v>
      </c>
      <c r="G57" s="84">
        <f t="shared" si="12"/>
        <v>15</v>
      </c>
      <c r="H57" s="84">
        <f t="shared" si="12"/>
        <v>0</v>
      </c>
      <c r="I57" s="84">
        <f t="shared" si="12"/>
        <v>0</v>
      </c>
      <c r="J57" s="84">
        <f t="shared" si="12"/>
        <v>0</v>
      </c>
      <c r="K57" s="84">
        <f t="shared" si="12"/>
        <v>62</v>
      </c>
    </row>
    <row r="58" spans="1:11" ht="20.25" customHeight="1" outlineLevel="1" x14ac:dyDescent="0.2">
      <c r="A58" s="87" t="s">
        <v>10</v>
      </c>
      <c r="B58" s="84"/>
      <c r="C58" s="86"/>
      <c r="D58" s="84"/>
      <c r="E58" s="84"/>
      <c r="F58" s="84"/>
      <c r="G58" s="84"/>
      <c r="H58" s="84"/>
      <c r="I58" s="84"/>
      <c r="J58" s="84"/>
      <c r="K58" s="79"/>
    </row>
    <row r="59" spans="1:11" outlineLevel="1" x14ac:dyDescent="0.2">
      <c r="A59" s="78" t="s">
        <v>4</v>
      </c>
      <c r="B59" s="84"/>
      <c r="C59" s="88">
        <f>6/45</f>
        <v>0.13333333333333333</v>
      </c>
      <c r="D59" s="84">
        <f t="shared" ref="D59:K59" si="13">SUM(D6:D9)</f>
        <v>0</v>
      </c>
      <c r="E59" s="84">
        <f t="shared" si="13"/>
        <v>0</v>
      </c>
      <c r="F59" s="84">
        <f t="shared" si="13"/>
        <v>0</v>
      </c>
      <c r="G59" s="84">
        <f t="shared" si="13"/>
        <v>0</v>
      </c>
      <c r="H59" s="84">
        <f t="shared" si="13"/>
        <v>0</v>
      </c>
      <c r="I59" s="84">
        <f t="shared" si="13"/>
        <v>0</v>
      </c>
      <c r="J59" s="84">
        <f t="shared" si="13"/>
        <v>0</v>
      </c>
      <c r="K59" s="84">
        <f t="shared" si="13"/>
        <v>0</v>
      </c>
    </row>
    <row r="60" spans="1:11" outlineLevel="1" x14ac:dyDescent="0.2">
      <c r="A60" s="78" t="s">
        <v>5</v>
      </c>
      <c r="B60" s="84"/>
      <c r="C60" s="88">
        <f>13/45</f>
        <v>0.28888888888888886</v>
      </c>
      <c r="D60" s="84">
        <f>SUM(D14:D17)</f>
        <v>0</v>
      </c>
      <c r="E60" s="84">
        <f t="shared" ref="E60:K60" si="14">SUM(E14:E17)</f>
        <v>0</v>
      </c>
      <c r="F60" s="84">
        <f t="shared" si="14"/>
        <v>0</v>
      </c>
      <c r="G60" s="84">
        <f t="shared" si="14"/>
        <v>0</v>
      </c>
      <c r="H60" s="84">
        <f t="shared" si="14"/>
        <v>0</v>
      </c>
      <c r="I60" s="84">
        <f t="shared" si="14"/>
        <v>0</v>
      </c>
      <c r="J60" s="84">
        <f t="shared" si="14"/>
        <v>0</v>
      </c>
      <c r="K60" s="84">
        <f t="shared" si="14"/>
        <v>0</v>
      </c>
    </row>
    <row r="61" spans="1:11" outlineLevel="1" x14ac:dyDescent="0.2">
      <c r="A61" s="78" t="s">
        <v>6</v>
      </c>
      <c r="B61" s="84"/>
      <c r="C61" s="88">
        <f>21/45</f>
        <v>0.46666666666666667</v>
      </c>
      <c r="D61" s="84">
        <f>SUM(D22:D25)</f>
        <v>0</v>
      </c>
      <c r="E61" s="84">
        <f t="shared" ref="E61:K61" si="15">SUM(E22:E25)</f>
        <v>0</v>
      </c>
      <c r="F61" s="84">
        <f t="shared" si="15"/>
        <v>1</v>
      </c>
      <c r="G61" s="84">
        <f t="shared" si="15"/>
        <v>5</v>
      </c>
      <c r="H61" s="84">
        <f t="shared" si="15"/>
        <v>0</v>
      </c>
      <c r="I61" s="84">
        <f t="shared" si="15"/>
        <v>0</v>
      </c>
      <c r="J61" s="84">
        <f t="shared" si="15"/>
        <v>0</v>
      </c>
      <c r="K61" s="84">
        <f t="shared" si="15"/>
        <v>6</v>
      </c>
    </row>
    <row r="62" spans="1:11" outlineLevel="1" x14ac:dyDescent="0.2">
      <c r="A62" s="78" t="s">
        <v>7</v>
      </c>
      <c r="B62" s="84"/>
      <c r="C62" s="88">
        <f>29/45</f>
        <v>0.64444444444444449</v>
      </c>
      <c r="D62" s="84">
        <f>SUM(D30:D33)</f>
        <v>0</v>
      </c>
      <c r="E62" s="84">
        <f t="shared" ref="E62:K62" si="16">SUM(E30:E33)</f>
        <v>0</v>
      </c>
      <c r="F62" s="84">
        <f t="shared" si="16"/>
        <v>0</v>
      </c>
      <c r="G62" s="84">
        <f t="shared" si="16"/>
        <v>0</v>
      </c>
      <c r="H62" s="84">
        <f t="shared" si="16"/>
        <v>0</v>
      </c>
      <c r="I62" s="84">
        <f t="shared" si="16"/>
        <v>0</v>
      </c>
      <c r="J62" s="84">
        <f t="shared" si="16"/>
        <v>0</v>
      </c>
      <c r="K62" s="84">
        <f t="shared" si="16"/>
        <v>0</v>
      </c>
    </row>
    <row r="63" spans="1:11" outlineLevel="1" x14ac:dyDescent="0.2">
      <c r="A63" s="78" t="s">
        <v>8</v>
      </c>
      <c r="B63" s="84"/>
      <c r="C63" s="88">
        <f>37/45</f>
        <v>0.82222222222222219</v>
      </c>
      <c r="D63" s="84">
        <f>SUM(D38:D41)</f>
        <v>1</v>
      </c>
      <c r="E63" s="84">
        <f t="shared" ref="E63:K63" si="17">SUM(E38:E41)</f>
        <v>0</v>
      </c>
      <c r="F63" s="84">
        <f t="shared" si="17"/>
        <v>3</v>
      </c>
      <c r="G63" s="84">
        <f t="shared" si="17"/>
        <v>0</v>
      </c>
      <c r="H63" s="84">
        <f t="shared" si="17"/>
        <v>0</v>
      </c>
      <c r="I63" s="84">
        <f t="shared" si="17"/>
        <v>0</v>
      </c>
      <c r="J63" s="84">
        <f t="shared" si="17"/>
        <v>0</v>
      </c>
      <c r="K63" s="84">
        <f t="shared" si="17"/>
        <v>4</v>
      </c>
    </row>
    <row r="64" spans="1:11" outlineLevel="1" x14ac:dyDescent="0.2">
      <c r="A64" s="85" t="s">
        <v>9</v>
      </c>
      <c r="B64" s="84"/>
      <c r="C64" s="88">
        <f>45/45</f>
        <v>1</v>
      </c>
      <c r="D64" s="84">
        <f>SUM(D46:D49)</f>
        <v>28</v>
      </c>
      <c r="E64" s="84">
        <f t="shared" ref="E64:K64" si="18">SUM(E46:E49)</f>
        <v>36</v>
      </c>
      <c r="F64" s="84">
        <f t="shared" si="18"/>
        <v>35</v>
      </c>
      <c r="G64" s="84">
        <f t="shared" si="18"/>
        <v>36</v>
      </c>
      <c r="H64" s="84">
        <f t="shared" si="18"/>
        <v>0</v>
      </c>
      <c r="I64" s="84">
        <f t="shared" si="18"/>
        <v>0</v>
      </c>
      <c r="J64" s="84">
        <f t="shared" si="18"/>
        <v>0</v>
      </c>
      <c r="K64" s="84">
        <f t="shared" si="18"/>
        <v>135</v>
      </c>
    </row>
    <row r="65" spans="1:13" ht="20.25" customHeight="1" x14ac:dyDescent="0.2">
      <c r="A65" s="78" t="s">
        <v>1</v>
      </c>
      <c r="C65" s="78"/>
      <c r="D65" s="14">
        <f t="shared" ref="D65:J65" si="19">SUM(D52:D57)</f>
        <v>19</v>
      </c>
      <c r="E65" s="14">
        <f t="shared" si="19"/>
        <v>17</v>
      </c>
      <c r="F65" s="14">
        <f t="shared" si="19"/>
        <v>14</v>
      </c>
      <c r="G65" s="14">
        <f t="shared" si="19"/>
        <v>17</v>
      </c>
      <c r="H65" s="14">
        <f t="shared" si="19"/>
        <v>0</v>
      </c>
      <c r="I65" s="14">
        <f t="shared" si="19"/>
        <v>0</v>
      </c>
      <c r="J65" s="14">
        <f t="shared" si="19"/>
        <v>0</v>
      </c>
      <c r="K65" s="79">
        <f t="shared" ref="K65:K71" si="20">SUM(D65:J65)</f>
        <v>67</v>
      </c>
    </row>
    <row r="66" spans="1:13" x14ac:dyDescent="0.2">
      <c r="A66" s="78" t="s">
        <v>10</v>
      </c>
      <c r="C66" s="78"/>
      <c r="D66" s="14">
        <f t="shared" ref="D66:J66" si="21">SUM(D59:D64)</f>
        <v>29</v>
      </c>
      <c r="E66" s="14">
        <f t="shared" si="21"/>
        <v>36</v>
      </c>
      <c r="F66" s="14">
        <f t="shared" si="21"/>
        <v>39</v>
      </c>
      <c r="G66" s="14">
        <f t="shared" si="21"/>
        <v>41</v>
      </c>
      <c r="H66" s="14">
        <f t="shared" si="21"/>
        <v>0</v>
      </c>
      <c r="I66" s="14">
        <f t="shared" si="21"/>
        <v>0</v>
      </c>
      <c r="J66" s="14">
        <f t="shared" si="21"/>
        <v>0</v>
      </c>
      <c r="K66" s="79">
        <f t="shared" si="20"/>
        <v>145</v>
      </c>
    </row>
    <row r="67" spans="1:13" ht="13.5" thickBot="1" x14ac:dyDescent="0.25">
      <c r="A67" s="90" t="s">
        <v>19</v>
      </c>
      <c r="B67" s="89"/>
      <c r="C67" s="90"/>
      <c r="D67" s="89">
        <f t="shared" ref="D67:J67" si="22">SUM(D65:D66)</f>
        <v>48</v>
      </c>
      <c r="E67" s="89">
        <f t="shared" si="22"/>
        <v>53</v>
      </c>
      <c r="F67" s="89">
        <f t="shared" si="22"/>
        <v>53</v>
      </c>
      <c r="G67" s="89">
        <f t="shared" si="22"/>
        <v>58</v>
      </c>
      <c r="H67" s="89">
        <f t="shared" si="22"/>
        <v>0</v>
      </c>
      <c r="I67" s="89">
        <f t="shared" si="22"/>
        <v>0</v>
      </c>
      <c r="J67" s="89">
        <f t="shared" si="22"/>
        <v>0</v>
      </c>
      <c r="K67" s="91">
        <f t="shared" si="20"/>
        <v>212</v>
      </c>
    </row>
    <row r="68" spans="1:13" ht="13.5" thickTop="1" x14ac:dyDescent="0.2">
      <c r="D68" s="190"/>
      <c r="E68" s="190"/>
      <c r="F68" s="190"/>
      <c r="G68" s="190"/>
      <c r="K68" s="81"/>
    </row>
    <row r="69" spans="1:13" x14ac:dyDescent="0.2">
      <c r="A69" s="78" t="s">
        <v>22</v>
      </c>
      <c r="C69" s="78"/>
      <c r="D69" s="92">
        <f t="shared" ref="D69:J69" si="23">SUMPRODUCT(D52:D57,$C$52:$C$57)</f>
        <v>18.644444444444446</v>
      </c>
      <c r="E69" s="92">
        <f t="shared" si="23"/>
        <v>16.133333333333333</v>
      </c>
      <c r="F69" s="92">
        <f t="shared" si="23"/>
        <v>14</v>
      </c>
      <c r="G69" s="92">
        <f t="shared" si="23"/>
        <v>15.933333333333334</v>
      </c>
      <c r="H69" s="92">
        <f t="shared" si="23"/>
        <v>0</v>
      </c>
      <c r="I69" s="92">
        <f t="shared" si="23"/>
        <v>0</v>
      </c>
      <c r="J69" s="92">
        <f t="shared" si="23"/>
        <v>0</v>
      </c>
      <c r="K69" s="92">
        <f t="shared" si="20"/>
        <v>64.711111111111109</v>
      </c>
    </row>
    <row r="70" spans="1:13" x14ac:dyDescent="0.2">
      <c r="A70" s="78" t="s">
        <v>23</v>
      </c>
      <c r="C70" s="78"/>
      <c r="D70" s="92">
        <f t="shared" ref="D70:J70" si="24">SUMPRODUCT(D59:D64,$C$59:$C$64)</f>
        <v>28.822222222222223</v>
      </c>
      <c r="E70" s="92">
        <f t="shared" si="24"/>
        <v>36</v>
      </c>
      <c r="F70" s="92">
        <f t="shared" si="24"/>
        <v>37.933333333333337</v>
      </c>
      <c r="G70" s="92">
        <f t="shared" si="24"/>
        <v>38.333333333333336</v>
      </c>
      <c r="H70" s="92">
        <f t="shared" si="24"/>
        <v>0</v>
      </c>
      <c r="I70" s="92">
        <f t="shared" si="24"/>
        <v>0</v>
      </c>
      <c r="J70" s="92">
        <f t="shared" si="24"/>
        <v>0</v>
      </c>
      <c r="K70" s="92">
        <f t="shared" si="20"/>
        <v>141.0888888888889</v>
      </c>
    </row>
    <row r="71" spans="1:13" ht="13.5" thickBot="1" x14ac:dyDescent="0.25">
      <c r="A71" s="90" t="s">
        <v>24</v>
      </c>
      <c r="B71" s="89"/>
      <c r="C71" s="90"/>
      <c r="D71" s="93">
        <f t="shared" ref="D71:J71" si="25">SUM(D69:D70)</f>
        <v>47.466666666666669</v>
      </c>
      <c r="E71" s="93">
        <f t="shared" si="25"/>
        <v>52.133333333333333</v>
      </c>
      <c r="F71" s="93">
        <f t="shared" si="25"/>
        <v>51.933333333333337</v>
      </c>
      <c r="G71" s="93">
        <f t="shared" si="25"/>
        <v>54.266666666666666</v>
      </c>
      <c r="H71" s="93">
        <f t="shared" si="25"/>
        <v>0</v>
      </c>
      <c r="I71" s="93">
        <f t="shared" si="25"/>
        <v>0</v>
      </c>
      <c r="J71" s="93">
        <f t="shared" si="25"/>
        <v>0</v>
      </c>
      <c r="K71" s="94">
        <f t="shared" si="20"/>
        <v>205.8</v>
      </c>
    </row>
    <row r="72" spans="1:13" ht="13.5" thickTop="1" x14ac:dyDescent="0.2">
      <c r="A72" s="85"/>
      <c r="B72" s="84"/>
      <c r="C72" s="85"/>
      <c r="D72" s="191"/>
      <c r="E72" s="191"/>
      <c r="F72" s="191"/>
      <c r="G72" s="191"/>
      <c r="H72" s="191"/>
      <c r="I72" s="191"/>
      <c r="J72" s="191"/>
      <c r="K72" s="192"/>
    </row>
    <row r="73" spans="1:13" ht="25.9" customHeight="1" x14ac:dyDescent="0.2">
      <c r="A73" s="32" t="s">
        <v>133</v>
      </c>
      <c r="C73" s="2"/>
      <c r="D73" s="32" t="str">
        <f t="shared" ref="D73:K73" si="26">D1</f>
        <v>Privat 1</v>
      </c>
      <c r="E73" s="32" t="str">
        <f t="shared" si="26"/>
        <v>Privat 2</v>
      </c>
      <c r="F73" s="32" t="str">
        <f t="shared" si="26"/>
        <v>Privat 3</v>
      </c>
      <c r="G73" s="32" t="str">
        <f t="shared" si="26"/>
        <v>Privat 4</v>
      </c>
      <c r="H73" s="32" t="str">
        <f t="shared" si="26"/>
        <v>Privat 5</v>
      </c>
      <c r="I73" s="32" t="str">
        <f t="shared" si="26"/>
        <v>Privat 6</v>
      </c>
      <c r="J73" s="32" t="str">
        <f t="shared" si="26"/>
        <v>Privat 7</v>
      </c>
      <c r="K73" s="32" t="str">
        <f t="shared" si="26"/>
        <v>Sum</v>
      </c>
    </row>
    <row r="74" spans="1:13" x14ac:dyDescent="0.2">
      <c r="A74" s="5" t="s">
        <v>31</v>
      </c>
      <c r="B74" s="5"/>
      <c r="C74" s="2"/>
      <c r="D74" s="6">
        <f>'4. Selvkost kommunen'!D76</f>
        <v>191248.0245559639</v>
      </c>
      <c r="E74" s="6">
        <f>D74</f>
        <v>191248.0245559639</v>
      </c>
      <c r="F74" s="6">
        <f t="shared" ref="F74:H75" si="27">E74</f>
        <v>191248.0245559639</v>
      </c>
      <c r="G74" s="6">
        <f t="shared" si="27"/>
        <v>191248.0245559639</v>
      </c>
      <c r="H74" s="6">
        <f t="shared" si="27"/>
        <v>191248.0245559639</v>
      </c>
      <c r="I74" s="6">
        <f>E74</f>
        <v>191248.0245559639</v>
      </c>
      <c r="J74" s="6">
        <f>I74</f>
        <v>191248.0245559639</v>
      </c>
      <c r="K74" s="10"/>
    </row>
    <row r="75" spans="1:13" x14ac:dyDescent="0.2">
      <c r="A75" s="5" t="s">
        <v>32</v>
      </c>
      <c r="B75" s="5"/>
      <c r="C75" s="2"/>
      <c r="D75" s="6">
        <f>'4. Selvkost kommunen'!D77</f>
        <v>91415.269541119269</v>
      </c>
      <c r="E75" s="6">
        <f>D75</f>
        <v>91415.269541119269</v>
      </c>
      <c r="F75" s="6">
        <f t="shared" si="27"/>
        <v>91415.269541119269</v>
      </c>
      <c r="G75" s="6">
        <f t="shared" si="27"/>
        <v>91415.269541119269</v>
      </c>
      <c r="H75" s="6">
        <f t="shared" si="27"/>
        <v>91415.269541119269</v>
      </c>
      <c r="I75" s="6">
        <f>E75</f>
        <v>91415.269541119269</v>
      </c>
      <c r="J75" s="6">
        <f>I75</f>
        <v>91415.269541119269</v>
      </c>
      <c r="K75" s="10"/>
    </row>
    <row r="76" spans="1:13" x14ac:dyDescent="0.2">
      <c r="A76" s="5" t="s">
        <v>33</v>
      </c>
      <c r="B76" s="5"/>
      <c r="C76" s="2"/>
      <c r="D76" s="6">
        <f>'5. Kapitaltilskudd'!C8</f>
        <v>15807.368421052632</v>
      </c>
      <c r="E76" s="6">
        <f>'5. Kapitaltilskudd'!D8</f>
        <v>9500</v>
      </c>
      <c r="F76" s="6">
        <f>'5. Kapitaltilskudd'!E8</f>
        <v>21400</v>
      </c>
      <c r="G76" s="6">
        <f>'5. Kapitaltilskudd'!F8</f>
        <v>9500</v>
      </c>
      <c r="H76" s="6"/>
      <c r="I76" s="6"/>
      <c r="J76" s="6"/>
      <c r="K76" s="10"/>
    </row>
    <row r="77" spans="1:13" x14ac:dyDescent="0.2">
      <c r="A77" s="5"/>
      <c r="B77" s="5"/>
      <c r="C77" s="2"/>
      <c r="D77" s="6"/>
      <c r="E77" s="6"/>
      <c r="F77" s="6"/>
      <c r="G77" s="6"/>
      <c r="H77" s="6"/>
      <c r="I77" s="6"/>
      <c r="J77" s="6"/>
      <c r="K77" s="10"/>
    </row>
    <row r="78" spans="1:13" ht="14.25" x14ac:dyDescent="0.2">
      <c r="A78" s="19" t="s">
        <v>250</v>
      </c>
      <c r="B78" s="39"/>
      <c r="C78" s="39"/>
      <c r="D78" s="6"/>
      <c r="E78" s="6"/>
      <c r="F78" s="6"/>
      <c r="G78" s="6"/>
      <c r="H78" s="6"/>
      <c r="I78" s="6"/>
      <c r="J78" s="6"/>
      <c r="K78" s="10"/>
    </row>
    <row r="79" spans="1:13" ht="14.25" x14ac:dyDescent="0.2">
      <c r="A79" s="39" t="s">
        <v>249</v>
      </c>
      <c r="B79" s="39"/>
      <c r="C79" s="39"/>
      <c r="D79" s="6">
        <v>0</v>
      </c>
      <c r="E79" s="6">
        <f>D79</f>
        <v>0</v>
      </c>
      <c r="F79" s="6">
        <f t="shared" ref="F79:J79" si="28">E79</f>
        <v>0</v>
      </c>
      <c r="G79" s="6">
        <f t="shared" si="28"/>
        <v>0</v>
      </c>
      <c r="H79" s="6">
        <f t="shared" si="28"/>
        <v>0</v>
      </c>
      <c r="I79" s="6">
        <f t="shared" si="28"/>
        <v>0</v>
      </c>
      <c r="J79" s="6">
        <f t="shared" si="28"/>
        <v>0</v>
      </c>
      <c r="K79" s="10"/>
      <c r="M79" s="264" t="s">
        <v>280</v>
      </c>
    </row>
    <row r="80" spans="1:13" ht="14.25" x14ac:dyDescent="0.2">
      <c r="A80" s="39" t="s">
        <v>248</v>
      </c>
      <c r="B80" s="39"/>
      <c r="C80" s="39"/>
      <c r="D80" s="6">
        <v>0</v>
      </c>
      <c r="E80" s="6">
        <f>D80</f>
        <v>0</v>
      </c>
      <c r="F80" s="6">
        <f t="shared" ref="F80:J80" si="29">E80</f>
        <v>0</v>
      </c>
      <c r="G80" s="6">
        <f t="shared" si="29"/>
        <v>0</v>
      </c>
      <c r="H80" s="6">
        <f t="shared" si="29"/>
        <v>0</v>
      </c>
      <c r="I80" s="6">
        <f t="shared" si="29"/>
        <v>0</v>
      </c>
      <c r="J80" s="6">
        <f t="shared" si="29"/>
        <v>0</v>
      </c>
      <c r="K80" s="10"/>
      <c r="M80" s="264" t="s">
        <v>280</v>
      </c>
    </row>
    <row r="81" spans="1:12" ht="14.25" x14ac:dyDescent="0.2">
      <c r="A81" s="39"/>
      <c r="B81" s="39"/>
      <c r="C81" s="39"/>
      <c r="D81" s="6"/>
      <c r="E81" s="6"/>
      <c r="F81" s="6"/>
      <c r="G81" s="6"/>
      <c r="H81" s="6"/>
      <c r="I81" s="6"/>
      <c r="J81" s="6"/>
      <c r="K81" s="10"/>
    </row>
    <row r="82" spans="1:12" ht="24" customHeight="1" x14ac:dyDescent="0.25">
      <c r="A82" s="32" t="s">
        <v>119</v>
      </c>
      <c r="B82" s="20"/>
      <c r="C82" s="21"/>
      <c r="D82" s="22"/>
      <c r="E82" s="22"/>
      <c r="F82" s="22"/>
      <c r="G82" s="22"/>
      <c r="H82" s="22"/>
      <c r="I82" s="22"/>
      <c r="J82" s="22"/>
      <c r="K82" s="22"/>
    </row>
    <row r="83" spans="1:12" x14ac:dyDescent="0.2">
      <c r="A83" s="2" t="s">
        <v>15</v>
      </c>
      <c r="B83" s="2"/>
      <c r="C83" s="23" t="s">
        <v>1</v>
      </c>
      <c r="D83" s="10">
        <f>D69*(D74+D79)</f>
        <v>3565713.1689434159</v>
      </c>
      <c r="E83" s="10">
        <f t="shared" ref="E83:G83" si="30">E69*(E74+E79)</f>
        <v>3085468.1295028841</v>
      </c>
      <c r="F83" s="10">
        <f t="shared" si="30"/>
        <v>2677472.3437834946</v>
      </c>
      <c r="G83" s="10">
        <f t="shared" si="30"/>
        <v>3047218.5245916913</v>
      </c>
      <c r="H83" s="10">
        <f t="shared" ref="H83:J84" si="31">H69*H74</f>
        <v>0</v>
      </c>
      <c r="I83" s="10">
        <f t="shared" si="31"/>
        <v>0</v>
      </c>
      <c r="J83" s="10">
        <f t="shared" si="31"/>
        <v>0</v>
      </c>
      <c r="K83" s="10">
        <f>SUM(D83:J83)</f>
        <v>12375872.166821485</v>
      </c>
    </row>
    <row r="84" spans="1:12" x14ac:dyDescent="0.2">
      <c r="A84" s="2"/>
      <c r="B84" s="2"/>
      <c r="C84" s="23" t="s">
        <v>10</v>
      </c>
      <c r="D84" s="10">
        <f>D70*(D75+D80)</f>
        <v>2634791.2132184822</v>
      </c>
      <c r="E84" s="10">
        <f t="shared" ref="E84:G84" si="32">E70*(E75+E80)</f>
        <v>3290949.7034802935</v>
      </c>
      <c r="F84" s="10">
        <f t="shared" si="32"/>
        <v>3467685.8912597913</v>
      </c>
      <c r="G84" s="10">
        <f t="shared" si="32"/>
        <v>3504251.9990762388</v>
      </c>
      <c r="H84" s="10">
        <f t="shared" si="31"/>
        <v>0</v>
      </c>
      <c r="I84" s="10">
        <f t="shared" si="31"/>
        <v>0</v>
      </c>
      <c r="J84" s="10">
        <f t="shared" si="31"/>
        <v>0</v>
      </c>
      <c r="K84" s="10">
        <f t="shared" ref="K84:K85" si="33">SUM(D84:J84)</f>
        <v>12897678.807034805</v>
      </c>
    </row>
    <row r="85" spans="1:12" x14ac:dyDescent="0.2">
      <c r="A85" s="2" t="s">
        <v>16</v>
      </c>
      <c r="B85" s="2"/>
      <c r="C85" s="23" t="s">
        <v>18</v>
      </c>
      <c r="D85" s="10">
        <f>D71*D76</f>
        <v>750323.08771929832</v>
      </c>
      <c r="E85" s="10">
        <f t="shared" ref="E85:J85" si="34">E71*E76</f>
        <v>495266.66666666669</v>
      </c>
      <c r="F85" s="10">
        <f t="shared" si="34"/>
        <v>1111373.3333333335</v>
      </c>
      <c r="G85" s="10">
        <f t="shared" si="34"/>
        <v>515533.33333333331</v>
      </c>
      <c r="H85" s="10">
        <f t="shared" si="34"/>
        <v>0</v>
      </c>
      <c r="I85" s="10">
        <f t="shared" si="34"/>
        <v>0</v>
      </c>
      <c r="J85" s="10">
        <f t="shared" si="34"/>
        <v>0</v>
      </c>
      <c r="K85" s="10">
        <f t="shared" si="33"/>
        <v>2872496.4210526319</v>
      </c>
    </row>
    <row r="86" spans="1:12" x14ac:dyDescent="0.2">
      <c r="A86" s="5" t="s">
        <v>100</v>
      </c>
      <c r="B86" s="5"/>
      <c r="C86" s="23"/>
      <c r="D86" s="63"/>
      <c r="E86" s="63"/>
      <c r="F86" s="63"/>
      <c r="G86" s="63"/>
      <c r="H86" s="63"/>
      <c r="I86" s="63"/>
      <c r="J86" s="63"/>
      <c r="K86" s="10">
        <f>SUM(D86:J86)</f>
        <v>0</v>
      </c>
    </row>
    <row r="87" spans="1:12" x14ac:dyDescent="0.2">
      <c r="A87" s="5" t="s">
        <v>204</v>
      </c>
      <c r="B87" s="5"/>
      <c r="C87" s="23"/>
      <c r="D87" s="63"/>
      <c r="E87" s="63"/>
      <c r="F87" s="63"/>
      <c r="G87" s="63"/>
      <c r="H87" s="63"/>
      <c r="I87" s="63"/>
      <c r="J87" s="63"/>
      <c r="K87" s="10">
        <f>SUM(D87:J87)</f>
        <v>0</v>
      </c>
    </row>
    <row r="88" spans="1:12" ht="13.5" thickBot="1" x14ac:dyDescent="0.25">
      <c r="A88" s="3" t="s">
        <v>17</v>
      </c>
      <c r="B88" s="3"/>
      <c r="C88" s="24"/>
      <c r="D88" s="11">
        <f t="shared" ref="D88:K88" si="35">SUM(D83:D87)</f>
        <v>6950827.4698811965</v>
      </c>
      <c r="E88" s="11">
        <f t="shared" si="35"/>
        <v>6871684.4996498441</v>
      </c>
      <c r="F88" s="11">
        <f t="shared" si="35"/>
        <v>7256531.5683766194</v>
      </c>
      <c r="G88" s="11">
        <f t="shared" si="35"/>
        <v>7067003.8570012627</v>
      </c>
      <c r="H88" s="11">
        <f t="shared" si="35"/>
        <v>0</v>
      </c>
      <c r="I88" s="11">
        <f t="shared" si="35"/>
        <v>0</v>
      </c>
      <c r="J88" s="11">
        <f t="shared" si="35"/>
        <v>0</v>
      </c>
      <c r="K88" s="11">
        <f t="shared" si="35"/>
        <v>28146047.394908924</v>
      </c>
    </row>
    <row r="89" spans="1:12" ht="13.5" thickTop="1" x14ac:dyDescent="0.2">
      <c r="A89" s="2"/>
      <c r="B89" s="2"/>
      <c r="C89" s="2"/>
      <c r="D89" s="2"/>
      <c r="E89" s="2"/>
      <c r="F89" s="2"/>
      <c r="G89" s="2"/>
      <c r="H89" s="2"/>
      <c r="I89" s="2"/>
      <c r="J89" s="2"/>
      <c r="K89" s="2"/>
    </row>
    <row r="90" spans="1:12" x14ac:dyDescent="0.2">
      <c r="A90" s="25" t="s">
        <v>120</v>
      </c>
      <c r="B90" s="2"/>
      <c r="C90" s="2"/>
      <c r="D90" s="77">
        <v>7</v>
      </c>
      <c r="E90" s="77">
        <v>7</v>
      </c>
      <c r="F90" s="77">
        <v>7</v>
      </c>
      <c r="G90" s="77">
        <v>7</v>
      </c>
      <c r="H90" s="77">
        <v>7</v>
      </c>
      <c r="I90" s="77">
        <v>7</v>
      </c>
      <c r="J90" s="77">
        <v>7</v>
      </c>
      <c r="K90" s="2"/>
      <c r="L90" s="262"/>
    </row>
    <row r="91" spans="1:12" ht="13.5" thickBot="1" x14ac:dyDescent="0.25">
      <c r="A91" s="106" t="s">
        <v>121</v>
      </c>
      <c r="B91" s="3"/>
      <c r="C91" s="3"/>
      <c r="D91" s="13">
        <f>D88*D90/12</f>
        <v>4054649.3574306979</v>
      </c>
      <c r="E91" s="13">
        <f>E88*E90/12</f>
        <v>4008482.6247957423</v>
      </c>
      <c r="F91" s="13">
        <f>F88*F90/12</f>
        <v>4232976.7482196949</v>
      </c>
      <c r="G91" s="13">
        <f>G88*G90/12</f>
        <v>4122418.9165840703</v>
      </c>
      <c r="H91" s="13">
        <f>H88*8/12</f>
        <v>0</v>
      </c>
      <c r="I91" s="13">
        <f>I88*8/12</f>
        <v>0</v>
      </c>
      <c r="J91" s="13">
        <f>J88*8/12</f>
        <v>0</v>
      </c>
      <c r="K91" s="13">
        <f>SUM(D91:J91)</f>
        <v>16418527.647030206</v>
      </c>
    </row>
    <row r="92" spans="1:12" ht="13.5" thickTop="1" x14ac:dyDescent="0.2">
      <c r="A92" s="2"/>
      <c r="B92" s="2"/>
      <c r="C92" s="2"/>
      <c r="D92" s="2"/>
      <c r="E92" s="2"/>
      <c r="F92" s="2"/>
      <c r="G92" s="2"/>
      <c r="H92" s="2"/>
      <c r="I92" s="2"/>
      <c r="J92" s="2"/>
      <c r="K92" s="2"/>
    </row>
    <row r="93" spans="1:12" ht="27.6" customHeight="1" x14ac:dyDescent="0.2">
      <c r="A93" s="105" t="s">
        <v>118</v>
      </c>
      <c r="B93" s="19"/>
      <c r="C93"/>
      <c r="D93" s="27"/>
      <c r="E93" s="27"/>
      <c r="F93" s="27"/>
      <c r="G93" s="27"/>
      <c r="H93" s="27"/>
      <c r="I93" s="27"/>
      <c r="J93" s="27"/>
      <c r="K93" s="27"/>
    </row>
    <row r="94" spans="1:12" x14ac:dyDescent="0.2">
      <c r="A94" t="s">
        <v>26</v>
      </c>
      <c r="B94"/>
      <c r="C94"/>
      <c r="D94" s="281">
        <v>1</v>
      </c>
      <c r="E94" s="281">
        <v>1</v>
      </c>
      <c r="F94" s="281">
        <v>1</v>
      </c>
      <c r="G94" s="281">
        <v>1</v>
      </c>
      <c r="H94" s="114"/>
      <c r="I94" s="114"/>
      <c r="J94" s="114"/>
      <c r="K94" s="27">
        <f>SUM(D94:J94)</f>
        <v>4</v>
      </c>
    </row>
    <row r="95" spans="1:12" x14ac:dyDescent="0.2">
      <c r="A95" t="s">
        <v>27</v>
      </c>
      <c r="B95"/>
      <c r="C95"/>
      <c r="D95" s="281">
        <v>4</v>
      </c>
      <c r="E95" s="281">
        <v>4</v>
      </c>
      <c r="F95" s="281">
        <v>4</v>
      </c>
      <c r="G95" s="281">
        <v>4</v>
      </c>
      <c r="H95" s="114"/>
      <c r="I95" s="114"/>
      <c r="J95" s="114"/>
      <c r="K95" s="27">
        <f>SUM(D95:J95)</f>
        <v>16</v>
      </c>
    </row>
    <row r="96" spans="1:12" x14ac:dyDescent="0.2">
      <c r="A96" t="s">
        <v>135</v>
      </c>
      <c r="B96"/>
      <c r="C96"/>
      <c r="D96" s="281"/>
      <c r="E96" s="281"/>
      <c r="F96" s="281"/>
      <c r="G96" s="281"/>
      <c r="H96" s="114"/>
      <c r="I96" s="114"/>
      <c r="J96" s="114"/>
      <c r="K96" s="27"/>
    </row>
    <row r="97" spans="1:11" x14ac:dyDescent="0.2">
      <c r="A97" t="s">
        <v>136</v>
      </c>
      <c r="B97"/>
      <c r="C97"/>
      <c r="D97" s="281"/>
      <c r="E97" s="281"/>
      <c r="F97" s="281"/>
      <c r="G97" s="281"/>
      <c r="H97" s="114"/>
      <c r="I97" s="114"/>
      <c r="J97" s="114"/>
      <c r="K97" s="27"/>
    </row>
    <row r="98" spans="1:11" x14ac:dyDescent="0.2">
      <c r="A98" t="s">
        <v>137</v>
      </c>
      <c r="B98"/>
      <c r="C98"/>
      <c r="D98" s="281">
        <v>6</v>
      </c>
      <c r="E98" s="281">
        <v>7</v>
      </c>
      <c r="F98" s="281">
        <v>6.2</v>
      </c>
      <c r="G98" s="281">
        <v>6</v>
      </c>
      <c r="H98" s="114"/>
      <c r="I98" s="114"/>
      <c r="J98" s="114"/>
      <c r="K98" s="27">
        <f>SUM(D98:J98)</f>
        <v>25.2</v>
      </c>
    </row>
    <row r="99" spans="1:11" ht="13.5" thickBot="1" x14ac:dyDescent="0.25">
      <c r="A99" s="1" t="s">
        <v>28</v>
      </c>
      <c r="B99" s="1"/>
      <c r="C99" s="1"/>
      <c r="D99" s="28">
        <f t="shared" ref="D99:K99" si="36">SUM(D94:D98)</f>
        <v>11</v>
      </c>
      <c r="E99" s="28">
        <f t="shared" si="36"/>
        <v>12</v>
      </c>
      <c r="F99" s="28">
        <f t="shared" si="36"/>
        <v>11.2</v>
      </c>
      <c r="G99" s="28">
        <f t="shared" si="36"/>
        <v>11</v>
      </c>
      <c r="H99" s="28">
        <f t="shared" si="36"/>
        <v>0</v>
      </c>
      <c r="I99" s="28">
        <f t="shared" si="36"/>
        <v>0</v>
      </c>
      <c r="J99" s="28">
        <f t="shared" si="36"/>
        <v>0</v>
      </c>
      <c r="K99" s="28">
        <f t="shared" si="36"/>
        <v>45.2</v>
      </c>
    </row>
    <row r="100" spans="1:11" ht="26.65" customHeight="1" thickTop="1" x14ac:dyDescent="0.2">
      <c r="A100" s="185" t="s">
        <v>102</v>
      </c>
      <c r="B100" s="194"/>
      <c r="C100" s="194"/>
      <c r="D100" s="195"/>
      <c r="E100" s="195"/>
      <c r="F100" s="195"/>
      <c r="G100" s="195"/>
      <c r="H100" s="195"/>
      <c r="I100" s="195"/>
      <c r="J100" s="195"/>
      <c r="K100" s="195"/>
    </row>
    <row r="101" spans="1:11" x14ac:dyDescent="0.2">
      <c r="A101" s="188" t="s">
        <v>192</v>
      </c>
      <c r="B101"/>
      <c r="C101"/>
      <c r="D101" s="27">
        <f t="shared" ref="D101:J101" si="37">D70+D69*2</f>
        <v>66.111111111111114</v>
      </c>
      <c r="E101" s="27">
        <f t="shared" si="37"/>
        <v>68.266666666666666</v>
      </c>
      <c r="F101" s="27">
        <f t="shared" si="37"/>
        <v>65.933333333333337</v>
      </c>
      <c r="G101" s="27">
        <f t="shared" si="37"/>
        <v>70.2</v>
      </c>
      <c r="H101" s="27">
        <f t="shared" si="37"/>
        <v>0</v>
      </c>
      <c r="I101" s="27">
        <f t="shared" si="37"/>
        <v>0</v>
      </c>
      <c r="J101" s="27">
        <f t="shared" si="37"/>
        <v>0</v>
      </c>
      <c r="K101" s="27">
        <f>SUM(D101:J101)</f>
        <v>270.51111111111112</v>
      </c>
    </row>
    <row r="102" spans="1:11" ht="13.5" thickBot="1" x14ac:dyDescent="0.25">
      <c r="A102" s="4" t="s">
        <v>193</v>
      </c>
      <c r="B102" s="4"/>
      <c r="C102" s="1"/>
      <c r="D102" s="28">
        <f>D101/D99</f>
        <v>6.0101010101010104</v>
      </c>
      <c r="E102" s="28">
        <f t="shared" ref="E102:K102" si="38">E101/E99</f>
        <v>5.6888888888888891</v>
      </c>
      <c r="F102" s="28">
        <f t="shared" si="38"/>
        <v>5.8869047619047628</v>
      </c>
      <c r="G102" s="28">
        <f t="shared" si="38"/>
        <v>6.3818181818181818</v>
      </c>
      <c r="H102" s="28" t="e">
        <f t="shared" si="38"/>
        <v>#DIV/0!</v>
      </c>
      <c r="I102" s="28" t="e">
        <f t="shared" si="38"/>
        <v>#DIV/0!</v>
      </c>
      <c r="J102" s="28" t="e">
        <f t="shared" si="38"/>
        <v>#DIV/0!</v>
      </c>
      <c r="K102" s="28">
        <f t="shared" si="38"/>
        <v>5.9847590953785641</v>
      </c>
    </row>
    <row r="103" spans="1:11" ht="13.5" thickTop="1" x14ac:dyDescent="0.2">
      <c r="A103"/>
      <c r="B103"/>
      <c r="C103"/>
      <c r="D103" s="27"/>
      <c r="E103" s="27"/>
      <c r="F103" s="27"/>
      <c r="G103" s="27"/>
      <c r="H103" s="27"/>
      <c r="I103" s="27"/>
      <c r="J103" s="27"/>
      <c r="K103" s="27"/>
    </row>
    <row r="104" spans="1:11" ht="13.5" thickBot="1" x14ac:dyDescent="0.25">
      <c r="A104" s="4" t="s">
        <v>194</v>
      </c>
      <c r="B104" s="4"/>
      <c r="C104" s="1"/>
      <c r="D104" s="28">
        <f>D101/D94</f>
        <v>66.111111111111114</v>
      </c>
      <c r="E104" s="28">
        <f t="shared" ref="E104:K104" si="39">E101/E94</f>
        <v>68.266666666666666</v>
      </c>
      <c r="F104" s="28">
        <f t="shared" si="39"/>
        <v>65.933333333333337</v>
      </c>
      <c r="G104" s="28">
        <f t="shared" si="39"/>
        <v>70.2</v>
      </c>
      <c r="H104" s="28" t="e">
        <f t="shared" si="39"/>
        <v>#DIV/0!</v>
      </c>
      <c r="I104" s="28" t="e">
        <f t="shared" si="39"/>
        <v>#DIV/0!</v>
      </c>
      <c r="J104" s="28" t="e">
        <f t="shared" si="39"/>
        <v>#DIV/0!</v>
      </c>
      <c r="K104" s="28">
        <f t="shared" si="39"/>
        <v>67.62777777777778</v>
      </c>
    </row>
    <row r="105" spans="1:11" ht="14.25" thickTop="1" thickBot="1" x14ac:dyDescent="0.25">
      <c r="A105" s="4" t="s">
        <v>195</v>
      </c>
      <c r="B105" s="4"/>
      <c r="C105" s="1"/>
      <c r="D105" s="28">
        <f>D101/(D99-D94)</f>
        <v>6.6111111111111116</v>
      </c>
      <c r="E105" s="28">
        <f t="shared" ref="E105:K105" si="40">E101/(E99-E94)</f>
        <v>6.2060606060606061</v>
      </c>
      <c r="F105" s="28">
        <f t="shared" si="40"/>
        <v>6.4640522875817004</v>
      </c>
      <c r="G105" s="28">
        <f t="shared" si="40"/>
        <v>7.0200000000000005</v>
      </c>
      <c r="H105" s="28" t="e">
        <f t="shared" si="40"/>
        <v>#DIV/0!</v>
      </c>
      <c r="I105" s="28" t="e">
        <f t="shared" si="40"/>
        <v>#DIV/0!</v>
      </c>
      <c r="J105" s="28" t="e">
        <f t="shared" si="40"/>
        <v>#DIV/0!</v>
      </c>
      <c r="K105" s="28">
        <f t="shared" si="40"/>
        <v>6.5658036677454152</v>
      </c>
    </row>
    <row r="106" spans="1:11" ht="13.5" thickTop="1" x14ac:dyDescent="0.2">
      <c r="B106" s="2"/>
      <c r="C106" s="2"/>
      <c r="D106" s="2"/>
      <c r="E106" s="2"/>
      <c r="F106" s="2"/>
      <c r="G106" s="2"/>
      <c r="H106" s="2"/>
      <c r="I106" s="2"/>
      <c r="J106" s="2"/>
      <c r="K106" s="2"/>
    </row>
    <row r="107" spans="1:11" ht="13.5" thickBot="1" x14ac:dyDescent="0.25">
      <c r="A107" s="89" t="s">
        <v>134</v>
      </c>
      <c r="B107" s="89"/>
      <c r="C107" s="89"/>
      <c r="D107" s="89">
        <f t="shared" ref="D107:K107" si="41">D2+D3+D10+D11+D18+D19+D26+D27+D34+D35+D42+D43</f>
        <v>9</v>
      </c>
      <c r="E107" s="89">
        <f t="shared" si="41"/>
        <v>8</v>
      </c>
      <c r="F107" s="89">
        <f t="shared" si="41"/>
        <v>9</v>
      </c>
      <c r="G107" s="89">
        <f t="shared" si="41"/>
        <v>9</v>
      </c>
      <c r="H107" s="89">
        <f t="shared" si="41"/>
        <v>0</v>
      </c>
      <c r="I107" s="89">
        <f t="shared" si="41"/>
        <v>0</v>
      </c>
      <c r="J107" s="89">
        <f t="shared" si="41"/>
        <v>0</v>
      </c>
      <c r="K107" s="89">
        <f t="shared" si="41"/>
        <v>35</v>
      </c>
    </row>
    <row r="108" spans="1:11" ht="13.5" thickTop="1" x14ac:dyDescent="0.2"/>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zoomScaleNormal="100" workbookViewId="0">
      <pane xSplit="3" ySplit="1" topLeftCell="D65" activePane="bottomRight" state="frozen"/>
      <selection pane="topRight" activeCell="E1" sqref="E1"/>
      <selection pane="bottomLeft" activeCell="A2" sqref="A2"/>
      <selection pane="bottomRight" activeCell="D2" sqref="D2:J49"/>
    </sheetView>
  </sheetViews>
  <sheetFormatPr baseColWidth="10" defaultColWidth="11.42578125" defaultRowHeight="12.75" outlineLevelRow="1" x14ac:dyDescent="0.2"/>
  <cols>
    <col min="1" max="1" width="15.42578125" style="14" customWidth="1"/>
    <col min="2" max="2" width="5.42578125" style="14" bestFit="1" customWidth="1"/>
    <col min="3" max="3" width="13.7109375" style="14" customWidth="1"/>
    <col min="4" max="7" width="10.42578125" style="14" bestFit="1" customWidth="1"/>
    <col min="8" max="10" width="10.42578125" style="14" customWidth="1"/>
    <col min="11" max="11" width="11.42578125" style="14" bestFit="1" customWidth="1"/>
    <col min="12" max="16384" width="11.42578125" style="14"/>
  </cols>
  <sheetData>
    <row r="1" spans="1:13" x14ac:dyDescent="0.2">
      <c r="A1" s="14" t="s">
        <v>34</v>
      </c>
      <c r="B1" s="78" t="s">
        <v>20</v>
      </c>
      <c r="C1" s="78" t="s">
        <v>34</v>
      </c>
      <c r="D1" s="80" t="s">
        <v>126</v>
      </c>
      <c r="E1" s="80" t="s">
        <v>127</v>
      </c>
      <c r="F1" s="80" t="s">
        <v>128</v>
      </c>
      <c r="G1" s="80" t="s">
        <v>129</v>
      </c>
      <c r="H1" s="80" t="s">
        <v>130</v>
      </c>
      <c r="I1" s="80" t="s">
        <v>131</v>
      </c>
      <c r="J1" s="80" t="s">
        <v>132</v>
      </c>
      <c r="K1" s="26" t="s">
        <v>28</v>
      </c>
      <c r="M1" s="14" t="s">
        <v>57</v>
      </c>
    </row>
    <row r="2" spans="1:13" outlineLevel="1" x14ac:dyDescent="0.2">
      <c r="A2" s="14" t="s">
        <v>4</v>
      </c>
      <c r="B2" s="14">
        <v>0</v>
      </c>
      <c r="C2" s="103">
        <v>2018</v>
      </c>
      <c r="D2" s="107"/>
      <c r="E2" s="107">
        <v>1</v>
      </c>
      <c r="F2" s="107"/>
      <c r="G2" s="107"/>
      <c r="H2" s="107"/>
      <c r="I2" s="107"/>
      <c r="J2" s="107"/>
      <c r="K2" s="81">
        <f t="shared" ref="K2:K49" si="0">SUM(D2:J2)</f>
        <v>1</v>
      </c>
      <c r="M2" s="14" t="s">
        <v>208</v>
      </c>
    </row>
    <row r="3" spans="1:13" outlineLevel="1" x14ac:dyDescent="0.2">
      <c r="B3" s="14">
        <v>1</v>
      </c>
      <c r="C3" s="78" t="str">
        <f>$C$2-B3&amp;" etter 1.12."</f>
        <v>2017 etter 1.12.</v>
      </c>
      <c r="D3" s="107"/>
      <c r="E3" s="107"/>
      <c r="F3" s="107"/>
      <c r="G3" s="107"/>
      <c r="H3" s="107"/>
      <c r="I3" s="107"/>
      <c r="J3" s="107"/>
      <c r="K3" s="81">
        <f t="shared" si="0"/>
        <v>0</v>
      </c>
    </row>
    <row r="4" spans="1:13" outlineLevel="1" x14ac:dyDescent="0.2">
      <c r="B4" s="14">
        <v>1</v>
      </c>
      <c r="C4" s="78" t="str">
        <f>$C$2-B4&amp;" før 1.12."</f>
        <v>2017 før 1.12.</v>
      </c>
      <c r="D4" s="107"/>
      <c r="E4" s="107"/>
      <c r="F4" s="107"/>
      <c r="G4" s="107"/>
      <c r="H4" s="107"/>
      <c r="I4" s="107"/>
      <c r="J4" s="107"/>
      <c r="K4" s="81">
        <f t="shared" si="0"/>
        <v>0</v>
      </c>
    </row>
    <row r="5" spans="1:13" outlineLevel="1" x14ac:dyDescent="0.2">
      <c r="B5" s="14">
        <v>2</v>
      </c>
      <c r="C5" s="78">
        <f>$C$2-B5</f>
        <v>2016</v>
      </c>
      <c r="D5" s="107"/>
      <c r="E5" s="107"/>
      <c r="F5" s="107"/>
      <c r="G5" s="107"/>
      <c r="H5" s="107"/>
      <c r="I5" s="107"/>
      <c r="J5" s="107"/>
      <c r="K5" s="81">
        <f t="shared" si="0"/>
        <v>0</v>
      </c>
    </row>
    <row r="6" spans="1:13" outlineLevel="1" x14ac:dyDescent="0.2">
      <c r="B6" s="14">
        <v>3</v>
      </c>
      <c r="C6" s="78">
        <f>$C$2-B6</f>
        <v>2015</v>
      </c>
      <c r="D6" s="107"/>
      <c r="E6" s="107"/>
      <c r="F6" s="107"/>
      <c r="G6" s="107"/>
      <c r="H6" s="107"/>
      <c r="I6" s="107"/>
      <c r="J6" s="107"/>
      <c r="K6" s="81">
        <f t="shared" si="0"/>
        <v>0</v>
      </c>
      <c r="M6" s="223" t="s">
        <v>281</v>
      </c>
    </row>
    <row r="7" spans="1:13" outlineLevel="1" x14ac:dyDescent="0.2">
      <c r="B7" s="14">
        <v>4</v>
      </c>
      <c r="C7" s="78">
        <f>$C$2-B7</f>
        <v>2014</v>
      </c>
      <c r="D7" s="107"/>
      <c r="E7" s="107"/>
      <c r="F7" s="107"/>
      <c r="G7" s="107"/>
      <c r="H7" s="107"/>
      <c r="I7" s="107"/>
      <c r="J7" s="107"/>
      <c r="K7" s="81">
        <f t="shared" si="0"/>
        <v>0</v>
      </c>
    </row>
    <row r="8" spans="1:13" outlineLevel="1" x14ac:dyDescent="0.2">
      <c r="B8" s="14">
        <v>5</v>
      </c>
      <c r="C8" s="78">
        <f>$C$2-B8</f>
        <v>2013</v>
      </c>
      <c r="D8" s="107"/>
      <c r="E8" s="107"/>
      <c r="F8" s="107"/>
      <c r="G8" s="107"/>
      <c r="H8" s="107"/>
      <c r="I8" s="107"/>
      <c r="J8" s="107"/>
      <c r="K8" s="81">
        <f t="shared" si="0"/>
        <v>0</v>
      </c>
    </row>
    <row r="9" spans="1:13" outlineLevel="1" x14ac:dyDescent="0.2">
      <c r="A9" s="82"/>
      <c r="B9" s="82">
        <v>6</v>
      </c>
      <c r="C9" s="83">
        <f>$C$2-B9</f>
        <v>2012</v>
      </c>
      <c r="D9" s="107"/>
      <c r="E9" s="107"/>
      <c r="F9" s="107"/>
      <c r="G9" s="107"/>
      <c r="H9" s="107"/>
      <c r="I9" s="107"/>
      <c r="J9" s="107"/>
      <c r="K9" s="81">
        <f t="shared" si="0"/>
        <v>0</v>
      </c>
      <c r="M9" s="14" t="s">
        <v>210</v>
      </c>
    </row>
    <row r="10" spans="1:13" outlineLevel="1" x14ac:dyDescent="0.2">
      <c r="A10" s="78" t="s">
        <v>5</v>
      </c>
      <c r="B10" s="14">
        <v>0</v>
      </c>
      <c r="C10" s="78">
        <f t="shared" ref="C10" si="1">$C$2-B10</f>
        <v>2018</v>
      </c>
      <c r="D10" s="107"/>
      <c r="E10" s="107"/>
      <c r="F10" s="107"/>
      <c r="G10" s="107"/>
      <c r="H10" s="107"/>
      <c r="I10" s="107"/>
      <c r="J10" s="107"/>
      <c r="K10" s="81">
        <f t="shared" si="0"/>
        <v>0</v>
      </c>
    </row>
    <row r="11" spans="1:13" outlineLevel="1" x14ac:dyDescent="0.2">
      <c r="A11" s="78"/>
      <c r="B11" s="14">
        <v>1</v>
      </c>
      <c r="C11" s="78" t="str">
        <f>$C$2-B11&amp;" etter 1.12."</f>
        <v>2017 etter 1.12.</v>
      </c>
      <c r="D11" s="107"/>
      <c r="E11" s="107"/>
      <c r="F11" s="107"/>
      <c r="G11" s="107"/>
      <c r="H11" s="107"/>
      <c r="I11" s="107"/>
      <c r="J11" s="107"/>
      <c r="K11" s="81">
        <f t="shared" si="0"/>
        <v>0</v>
      </c>
    </row>
    <row r="12" spans="1:13" outlineLevel="1" x14ac:dyDescent="0.2">
      <c r="A12" s="78"/>
      <c r="B12" s="14">
        <v>1</v>
      </c>
      <c r="C12" s="78" t="str">
        <f>$C$2-B12&amp;" før 1.12."</f>
        <v>2017 før 1.12.</v>
      </c>
      <c r="D12" s="107"/>
      <c r="E12" s="107"/>
      <c r="F12" s="107"/>
      <c r="G12" s="107"/>
      <c r="H12" s="107"/>
      <c r="I12" s="107"/>
      <c r="J12" s="107"/>
      <c r="K12" s="81">
        <f t="shared" si="0"/>
        <v>0</v>
      </c>
    </row>
    <row r="13" spans="1:13" outlineLevel="1" x14ac:dyDescent="0.2">
      <c r="B13" s="14">
        <v>2</v>
      </c>
      <c r="C13" s="78">
        <f>$C$2-B13</f>
        <v>2016</v>
      </c>
      <c r="D13" s="107"/>
      <c r="E13" s="107"/>
      <c r="F13" s="107"/>
      <c r="G13" s="107"/>
      <c r="H13" s="107"/>
      <c r="I13" s="107"/>
      <c r="J13" s="107"/>
      <c r="K13" s="81">
        <f t="shared" si="0"/>
        <v>0</v>
      </c>
    </row>
    <row r="14" spans="1:13" outlineLevel="1" x14ac:dyDescent="0.2">
      <c r="B14" s="14">
        <v>3</v>
      </c>
      <c r="C14" s="78">
        <f>$C$2-B14</f>
        <v>2015</v>
      </c>
      <c r="D14" s="107"/>
      <c r="E14" s="107"/>
      <c r="F14" s="107"/>
      <c r="G14" s="107"/>
      <c r="H14" s="107"/>
      <c r="I14" s="107"/>
      <c r="J14" s="107"/>
      <c r="K14" s="81">
        <f t="shared" si="0"/>
        <v>0</v>
      </c>
    </row>
    <row r="15" spans="1:13" outlineLevel="1" x14ac:dyDescent="0.2">
      <c r="B15" s="14">
        <v>4</v>
      </c>
      <c r="C15" s="78">
        <f>$C$2-B15</f>
        <v>2014</v>
      </c>
      <c r="D15" s="107"/>
      <c r="E15" s="107"/>
      <c r="F15" s="107"/>
      <c r="G15" s="107"/>
      <c r="H15" s="107"/>
      <c r="I15" s="107"/>
      <c r="J15" s="107"/>
      <c r="K15" s="81">
        <f t="shared" si="0"/>
        <v>0</v>
      </c>
    </row>
    <row r="16" spans="1:13" outlineLevel="1" x14ac:dyDescent="0.2">
      <c r="B16" s="14">
        <v>5</v>
      </c>
      <c r="C16" s="78">
        <f>$C$2-B16</f>
        <v>2013</v>
      </c>
      <c r="D16" s="107"/>
      <c r="E16" s="107"/>
      <c r="F16" s="107"/>
      <c r="G16" s="107"/>
      <c r="H16" s="107"/>
      <c r="I16" s="107"/>
      <c r="J16" s="107"/>
      <c r="K16" s="81">
        <f t="shared" si="0"/>
        <v>0</v>
      </c>
    </row>
    <row r="17" spans="1:11" outlineLevel="1" x14ac:dyDescent="0.2">
      <c r="A17" s="82"/>
      <c r="B17" s="82">
        <v>6</v>
      </c>
      <c r="C17" s="83">
        <f>$C$2-B17</f>
        <v>2012</v>
      </c>
      <c r="D17" s="107"/>
      <c r="E17" s="107"/>
      <c r="F17" s="107"/>
      <c r="G17" s="107"/>
      <c r="H17" s="107"/>
      <c r="I17" s="107"/>
      <c r="J17" s="107"/>
      <c r="K17" s="81">
        <f t="shared" si="0"/>
        <v>0</v>
      </c>
    </row>
    <row r="18" spans="1:11" outlineLevel="1" x14ac:dyDescent="0.2">
      <c r="A18" s="78" t="s">
        <v>6</v>
      </c>
      <c r="B18" s="14">
        <v>0</v>
      </c>
      <c r="C18" s="78">
        <f t="shared" ref="C18" si="2">$C$2-B18</f>
        <v>2018</v>
      </c>
      <c r="D18" s="107"/>
      <c r="E18" s="107"/>
      <c r="F18" s="107"/>
      <c r="G18" s="107"/>
      <c r="H18" s="107"/>
      <c r="I18" s="107"/>
      <c r="J18" s="107"/>
      <c r="K18" s="81">
        <f t="shared" si="0"/>
        <v>0</v>
      </c>
    </row>
    <row r="19" spans="1:11" outlineLevel="1" x14ac:dyDescent="0.2">
      <c r="B19" s="14">
        <v>1</v>
      </c>
      <c r="C19" s="78" t="str">
        <f>$C$2-B19&amp;" etter 1.12."</f>
        <v>2017 etter 1.12.</v>
      </c>
      <c r="D19" s="107"/>
      <c r="E19" s="107"/>
      <c r="F19" s="107"/>
      <c r="G19" s="107">
        <v>2</v>
      </c>
      <c r="H19" s="107"/>
      <c r="I19" s="107"/>
      <c r="J19" s="107"/>
      <c r="K19" s="81">
        <f t="shared" si="0"/>
        <v>2</v>
      </c>
    </row>
    <row r="20" spans="1:11" outlineLevel="1" x14ac:dyDescent="0.2">
      <c r="B20" s="14">
        <v>1</v>
      </c>
      <c r="C20" s="78" t="str">
        <f>$C$2-B20&amp;" før 1.12."</f>
        <v>2017 før 1.12.</v>
      </c>
      <c r="D20" s="107"/>
      <c r="E20" s="107"/>
      <c r="F20" s="107"/>
      <c r="G20" s="107"/>
      <c r="H20" s="107"/>
      <c r="I20" s="107"/>
      <c r="J20" s="107"/>
      <c r="K20" s="81">
        <f t="shared" si="0"/>
        <v>0</v>
      </c>
    </row>
    <row r="21" spans="1:11" outlineLevel="1" x14ac:dyDescent="0.2">
      <c r="B21" s="14">
        <v>2</v>
      </c>
      <c r="C21" s="78">
        <f>$C$2-B21</f>
        <v>2016</v>
      </c>
      <c r="D21" s="107"/>
      <c r="E21" s="107"/>
      <c r="F21" s="107"/>
      <c r="G21" s="107"/>
      <c r="H21" s="107"/>
      <c r="I21" s="107"/>
      <c r="J21" s="107"/>
      <c r="K21" s="81">
        <f t="shared" si="0"/>
        <v>0</v>
      </c>
    </row>
    <row r="22" spans="1:11" outlineLevel="1" x14ac:dyDescent="0.2">
      <c r="B22" s="14">
        <v>3</v>
      </c>
      <c r="C22" s="78">
        <f>$C$2-B22</f>
        <v>2015</v>
      </c>
      <c r="D22" s="107"/>
      <c r="E22" s="107"/>
      <c r="F22" s="107">
        <v>1</v>
      </c>
      <c r="G22" s="107">
        <v>1</v>
      </c>
      <c r="H22" s="107"/>
      <c r="I22" s="107"/>
      <c r="J22" s="107"/>
      <c r="K22" s="81">
        <f t="shared" si="0"/>
        <v>2</v>
      </c>
    </row>
    <row r="23" spans="1:11" outlineLevel="1" x14ac:dyDescent="0.2">
      <c r="B23" s="14">
        <v>4</v>
      </c>
      <c r="C23" s="78">
        <f>$C$2-B23</f>
        <v>2014</v>
      </c>
      <c r="D23" s="107"/>
      <c r="E23" s="107"/>
      <c r="F23" s="107"/>
      <c r="G23" s="107">
        <v>3</v>
      </c>
      <c r="H23" s="107"/>
      <c r="I23" s="107"/>
      <c r="J23" s="107"/>
      <c r="K23" s="81">
        <f t="shared" si="0"/>
        <v>3</v>
      </c>
    </row>
    <row r="24" spans="1:11" outlineLevel="1" x14ac:dyDescent="0.2">
      <c r="B24" s="14">
        <v>5</v>
      </c>
      <c r="C24" s="78">
        <f>$C$2-B24</f>
        <v>2013</v>
      </c>
      <c r="D24" s="107"/>
      <c r="E24" s="107"/>
      <c r="F24" s="107"/>
      <c r="G24" s="107"/>
      <c r="H24" s="107"/>
      <c r="I24" s="107"/>
      <c r="J24" s="107"/>
      <c r="K24" s="81">
        <f t="shared" si="0"/>
        <v>0</v>
      </c>
    </row>
    <row r="25" spans="1:11" outlineLevel="1" x14ac:dyDescent="0.2">
      <c r="A25" s="82"/>
      <c r="B25" s="82">
        <v>6</v>
      </c>
      <c r="C25" s="83">
        <f>$C$2-B25</f>
        <v>2012</v>
      </c>
      <c r="D25" s="107"/>
      <c r="E25" s="107"/>
      <c r="F25" s="107"/>
      <c r="G25" s="107">
        <v>1</v>
      </c>
      <c r="H25" s="107"/>
      <c r="I25" s="107"/>
      <c r="J25" s="107"/>
      <c r="K25" s="81">
        <f t="shared" si="0"/>
        <v>1</v>
      </c>
    </row>
    <row r="26" spans="1:11" outlineLevel="1" x14ac:dyDescent="0.2">
      <c r="A26" s="78" t="s">
        <v>7</v>
      </c>
      <c r="B26" s="14">
        <v>0</v>
      </c>
      <c r="C26" s="78">
        <f t="shared" ref="C26" si="3">$C$2-B26</f>
        <v>2018</v>
      </c>
      <c r="D26" s="107"/>
      <c r="E26" s="107"/>
      <c r="F26" s="107"/>
      <c r="G26" s="107"/>
      <c r="H26" s="107"/>
      <c r="I26" s="107"/>
      <c r="J26" s="107"/>
      <c r="K26" s="81">
        <f t="shared" si="0"/>
        <v>0</v>
      </c>
    </row>
    <row r="27" spans="1:11" outlineLevel="1" x14ac:dyDescent="0.2">
      <c r="B27" s="14">
        <v>1</v>
      </c>
      <c r="C27" s="78" t="str">
        <f>$C$2-B27&amp;" etter 1.12."</f>
        <v>2017 etter 1.12.</v>
      </c>
      <c r="D27" s="107"/>
      <c r="E27" s="107"/>
      <c r="F27" s="107"/>
      <c r="G27" s="107"/>
      <c r="H27" s="107"/>
      <c r="I27" s="107"/>
      <c r="J27" s="107"/>
      <c r="K27" s="81">
        <f t="shared" si="0"/>
        <v>0</v>
      </c>
    </row>
    <row r="28" spans="1:11" outlineLevel="1" x14ac:dyDescent="0.2">
      <c r="B28" s="14">
        <v>1</v>
      </c>
      <c r="C28" s="78" t="str">
        <f>$C$2-B28&amp;" før 1.12."</f>
        <v>2017 før 1.12.</v>
      </c>
      <c r="D28" s="107"/>
      <c r="E28" s="107"/>
      <c r="F28" s="107"/>
      <c r="G28" s="107"/>
      <c r="H28" s="107"/>
      <c r="I28" s="107"/>
      <c r="J28" s="107"/>
      <c r="K28" s="81">
        <f t="shared" si="0"/>
        <v>0</v>
      </c>
    </row>
    <row r="29" spans="1:11" outlineLevel="1" x14ac:dyDescent="0.2">
      <c r="B29" s="14">
        <v>2</v>
      </c>
      <c r="C29" s="78">
        <f>$C$2-B29</f>
        <v>2016</v>
      </c>
      <c r="D29" s="107"/>
      <c r="E29" s="107"/>
      <c r="F29" s="107"/>
      <c r="G29" s="107"/>
      <c r="H29" s="107"/>
      <c r="I29" s="107"/>
      <c r="J29" s="107"/>
      <c r="K29" s="81">
        <f t="shared" si="0"/>
        <v>0</v>
      </c>
    </row>
    <row r="30" spans="1:11" outlineLevel="1" x14ac:dyDescent="0.2">
      <c r="B30" s="14">
        <v>3</v>
      </c>
      <c r="C30" s="78">
        <f>$C$2-B30</f>
        <v>2015</v>
      </c>
      <c r="D30" s="107"/>
      <c r="E30" s="107"/>
      <c r="F30" s="107"/>
      <c r="G30" s="107"/>
      <c r="H30" s="107"/>
      <c r="I30" s="107"/>
      <c r="J30" s="107"/>
      <c r="K30" s="81">
        <f t="shared" si="0"/>
        <v>0</v>
      </c>
    </row>
    <row r="31" spans="1:11" outlineLevel="1" x14ac:dyDescent="0.2">
      <c r="B31" s="14">
        <v>4</v>
      </c>
      <c r="C31" s="78">
        <f>$C$2-B31</f>
        <v>2014</v>
      </c>
      <c r="D31" s="107"/>
      <c r="E31" s="107"/>
      <c r="F31" s="107"/>
      <c r="G31" s="107"/>
      <c r="H31" s="107"/>
      <c r="I31" s="107"/>
      <c r="J31" s="107"/>
      <c r="K31" s="81">
        <f t="shared" si="0"/>
        <v>0</v>
      </c>
    </row>
    <row r="32" spans="1:11" outlineLevel="1" x14ac:dyDescent="0.2">
      <c r="B32" s="14">
        <v>5</v>
      </c>
      <c r="C32" s="78">
        <f>$C$2-B32</f>
        <v>2013</v>
      </c>
      <c r="D32" s="107"/>
      <c r="E32" s="107"/>
      <c r="F32" s="107"/>
      <c r="G32" s="107"/>
      <c r="H32" s="107"/>
      <c r="I32" s="107"/>
      <c r="J32" s="107"/>
      <c r="K32" s="81">
        <f t="shared" si="0"/>
        <v>0</v>
      </c>
    </row>
    <row r="33" spans="1:11" outlineLevel="1" x14ac:dyDescent="0.2">
      <c r="A33" s="82"/>
      <c r="B33" s="82">
        <v>6</v>
      </c>
      <c r="C33" s="83">
        <f>$C$2-B33</f>
        <v>2012</v>
      </c>
      <c r="D33" s="107"/>
      <c r="E33" s="107"/>
      <c r="F33" s="107"/>
      <c r="G33" s="107"/>
      <c r="H33" s="107"/>
      <c r="I33" s="107"/>
      <c r="J33" s="107"/>
      <c r="K33" s="81">
        <f t="shared" si="0"/>
        <v>0</v>
      </c>
    </row>
    <row r="34" spans="1:11" outlineLevel="1" x14ac:dyDescent="0.2">
      <c r="A34" s="78" t="s">
        <v>8</v>
      </c>
      <c r="B34" s="14">
        <v>0</v>
      </c>
      <c r="C34" s="78">
        <f t="shared" ref="C34" si="4">$C$2-B34</f>
        <v>2018</v>
      </c>
      <c r="D34" s="107"/>
      <c r="E34" s="107"/>
      <c r="F34" s="107"/>
      <c r="G34" s="107"/>
      <c r="H34" s="107"/>
      <c r="I34" s="107"/>
      <c r="J34" s="107"/>
      <c r="K34" s="81">
        <f t="shared" si="0"/>
        <v>0</v>
      </c>
    </row>
    <row r="35" spans="1:11" outlineLevel="1" x14ac:dyDescent="0.2">
      <c r="B35" s="14">
        <v>1</v>
      </c>
      <c r="C35" s="78" t="str">
        <f>$C$2-B35&amp;" etter 1.12."</f>
        <v>2017 etter 1.12.</v>
      </c>
      <c r="D35" s="107">
        <v>1</v>
      </c>
      <c r="E35" s="107"/>
      <c r="F35" s="107"/>
      <c r="G35" s="107"/>
      <c r="H35" s="107"/>
      <c r="I35" s="107"/>
      <c r="J35" s="107"/>
      <c r="K35" s="81">
        <f t="shared" si="0"/>
        <v>1</v>
      </c>
    </row>
    <row r="36" spans="1:11" outlineLevel="1" x14ac:dyDescent="0.2">
      <c r="B36" s="14">
        <v>1</v>
      </c>
      <c r="C36" s="78" t="str">
        <f>$C$2-B36&amp;" før 1.12."</f>
        <v>2017 før 1.12.</v>
      </c>
      <c r="D36" s="107"/>
      <c r="E36" s="107"/>
      <c r="F36" s="107"/>
      <c r="G36" s="107"/>
      <c r="H36" s="107"/>
      <c r="I36" s="107"/>
      <c r="J36" s="107"/>
      <c r="K36" s="81">
        <f t="shared" si="0"/>
        <v>0</v>
      </c>
    </row>
    <row r="37" spans="1:11" outlineLevel="1" x14ac:dyDescent="0.2">
      <c r="B37" s="14">
        <v>2</v>
      </c>
      <c r="C37" s="78">
        <f>$C$2-B37</f>
        <v>2016</v>
      </c>
      <c r="D37" s="107">
        <v>1</v>
      </c>
      <c r="E37" s="107"/>
      <c r="F37" s="107"/>
      <c r="G37" s="107"/>
      <c r="H37" s="107"/>
      <c r="I37" s="107"/>
      <c r="J37" s="107"/>
      <c r="K37" s="81">
        <f t="shared" si="0"/>
        <v>1</v>
      </c>
    </row>
    <row r="38" spans="1:11" outlineLevel="1" x14ac:dyDescent="0.2">
      <c r="B38" s="14">
        <v>3</v>
      </c>
      <c r="C38" s="78">
        <f>$C$2-B38</f>
        <v>2015</v>
      </c>
      <c r="D38" s="107"/>
      <c r="E38" s="107"/>
      <c r="F38" s="107">
        <v>2</v>
      </c>
      <c r="G38" s="107"/>
      <c r="H38" s="107"/>
      <c r="I38" s="107"/>
      <c r="J38" s="107"/>
      <c r="K38" s="81">
        <f t="shared" si="0"/>
        <v>2</v>
      </c>
    </row>
    <row r="39" spans="1:11" outlineLevel="1" x14ac:dyDescent="0.2">
      <c r="B39" s="14">
        <v>4</v>
      </c>
      <c r="C39" s="78">
        <f>$C$2-B39</f>
        <v>2014</v>
      </c>
      <c r="D39" s="107"/>
      <c r="E39" s="107"/>
      <c r="F39" s="107">
        <v>1</v>
      </c>
      <c r="G39" s="107"/>
      <c r="H39" s="107"/>
      <c r="I39" s="107"/>
      <c r="J39" s="107"/>
      <c r="K39" s="81">
        <f t="shared" si="0"/>
        <v>1</v>
      </c>
    </row>
    <row r="40" spans="1:11" outlineLevel="1" x14ac:dyDescent="0.2">
      <c r="B40" s="14">
        <v>5</v>
      </c>
      <c r="C40" s="78">
        <f>$C$2-B40</f>
        <v>2013</v>
      </c>
      <c r="D40" s="107"/>
      <c r="E40" s="107"/>
      <c r="F40" s="107"/>
      <c r="G40" s="107"/>
      <c r="H40" s="107"/>
      <c r="I40" s="107"/>
      <c r="J40" s="107"/>
      <c r="K40" s="81">
        <f t="shared" si="0"/>
        <v>0</v>
      </c>
    </row>
    <row r="41" spans="1:11" outlineLevel="1" x14ac:dyDescent="0.2">
      <c r="A41" s="82"/>
      <c r="B41" s="82">
        <v>6</v>
      </c>
      <c r="C41" s="83">
        <f>$C$2-B41</f>
        <v>2012</v>
      </c>
      <c r="D41" s="107">
        <v>1</v>
      </c>
      <c r="E41" s="107"/>
      <c r="F41" s="107"/>
      <c r="G41" s="107"/>
      <c r="H41" s="107"/>
      <c r="I41" s="107"/>
      <c r="J41" s="107"/>
      <c r="K41" s="81">
        <f t="shared" si="0"/>
        <v>1</v>
      </c>
    </row>
    <row r="42" spans="1:11" outlineLevel="1" x14ac:dyDescent="0.2">
      <c r="A42" s="83" t="s">
        <v>9</v>
      </c>
      <c r="B42" s="14">
        <v>0</v>
      </c>
      <c r="C42" s="78">
        <f t="shared" ref="C42" si="5">$C$2-B42</f>
        <v>2018</v>
      </c>
      <c r="D42" s="107">
        <v>1</v>
      </c>
      <c r="E42" s="107"/>
      <c r="F42" s="107">
        <v>1</v>
      </c>
      <c r="G42" s="107"/>
      <c r="H42" s="107"/>
      <c r="I42" s="107"/>
      <c r="J42" s="107"/>
      <c r="K42" s="81">
        <f t="shared" si="0"/>
        <v>2</v>
      </c>
    </row>
    <row r="43" spans="1:11" outlineLevel="1" x14ac:dyDescent="0.2">
      <c r="B43" s="14">
        <v>1</v>
      </c>
      <c r="C43" s="78" t="str">
        <f>$C$2-B43&amp;" etter 1.12."</f>
        <v>2017 etter 1.12.</v>
      </c>
      <c r="D43" s="107">
        <v>7</v>
      </c>
      <c r="E43" s="107">
        <v>7</v>
      </c>
      <c r="F43" s="107">
        <v>8</v>
      </c>
      <c r="G43" s="107">
        <v>7</v>
      </c>
      <c r="H43" s="107"/>
      <c r="I43" s="107"/>
      <c r="J43" s="107"/>
      <c r="K43" s="81">
        <f t="shared" si="0"/>
        <v>29</v>
      </c>
    </row>
    <row r="44" spans="1:11" outlineLevel="1" x14ac:dyDescent="0.2">
      <c r="B44" s="14">
        <v>1</v>
      </c>
      <c r="C44" s="78" t="str">
        <f>$C$2-B44&amp;" før 1.12."</f>
        <v>2017 før 1.12.</v>
      </c>
      <c r="D44" s="107"/>
      <c r="E44" s="107"/>
      <c r="F44" s="107"/>
      <c r="G44" s="107"/>
      <c r="H44" s="107"/>
      <c r="I44" s="107"/>
      <c r="J44" s="107"/>
      <c r="K44" s="81">
        <f t="shared" si="0"/>
        <v>0</v>
      </c>
    </row>
    <row r="45" spans="1:11" outlineLevel="1" x14ac:dyDescent="0.2">
      <c r="B45" s="14">
        <v>2</v>
      </c>
      <c r="C45" s="78">
        <f>$C$2-B45</f>
        <v>2016</v>
      </c>
      <c r="D45" s="107">
        <v>9</v>
      </c>
      <c r="E45" s="107">
        <v>9</v>
      </c>
      <c r="F45" s="107">
        <v>5</v>
      </c>
      <c r="G45" s="107">
        <v>8</v>
      </c>
      <c r="H45" s="107"/>
      <c r="I45" s="107"/>
      <c r="J45" s="107"/>
      <c r="K45" s="81">
        <f t="shared" si="0"/>
        <v>31</v>
      </c>
    </row>
    <row r="46" spans="1:11" outlineLevel="1" x14ac:dyDescent="0.2">
      <c r="B46" s="14">
        <v>3</v>
      </c>
      <c r="C46" s="78">
        <f>$C$2-B46</f>
        <v>2015</v>
      </c>
      <c r="D46" s="107">
        <v>5</v>
      </c>
      <c r="E46" s="107">
        <v>9</v>
      </c>
      <c r="F46" s="107">
        <v>8</v>
      </c>
      <c r="G46" s="107">
        <v>10</v>
      </c>
      <c r="H46" s="107"/>
      <c r="I46" s="107"/>
      <c r="J46" s="107"/>
      <c r="K46" s="81">
        <f t="shared" si="0"/>
        <v>32</v>
      </c>
    </row>
    <row r="47" spans="1:11" outlineLevel="1" x14ac:dyDescent="0.2">
      <c r="B47" s="14">
        <v>4</v>
      </c>
      <c r="C47" s="78">
        <f>$C$2-B47</f>
        <v>2014</v>
      </c>
      <c r="D47" s="107">
        <v>7</v>
      </c>
      <c r="E47" s="107">
        <v>9</v>
      </c>
      <c r="F47" s="107">
        <v>9</v>
      </c>
      <c r="G47" s="107">
        <v>8</v>
      </c>
      <c r="H47" s="107"/>
      <c r="I47" s="107"/>
      <c r="J47" s="107"/>
      <c r="K47" s="81">
        <f t="shared" si="0"/>
        <v>33</v>
      </c>
    </row>
    <row r="48" spans="1:11" outlineLevel="1" x14ac:dyDescent="0.2">
      <c r="B48" s="14">
        <v>5</v>
      </c>
      <c r="C48" s="78">
        <f>$C$2-B48</f>
        <v>2013</v>
      </c>
      <c r="D48" s="107">
        <v>8</v>
      </c>
      <c r="E48" s="107">
        <v>9</v>
      </c>
      <c r="F48" s="107">
        <v>10</v>
      </c>
      <c r="G48" s="107">
        <v>9</v>
      </c>
      <c r="H48" s="107"/>
      <c r="I48" s="107"/>
      <c r="J48" s="107"/>
      <c r="K48" s="81">
        <f t="shared" si="0"/>
        <v>36</v>
      </c>
    </row>
    <row r="49" spans="1:11" outlineLevel="1" x14ac:dyDescent="0.2">
      <c r="A49" s="82"/>
      <c r="B49" s="82">
        <v>6</v>
      </c>
      <c r="C49" s="83">
        <f>$C$2-B49</f>
        <v>2012</v>
      </c>
      <c r="D49" s="107">
        <v>8</v>
      </c>
      <c r="E49" s="107">
        <v>9</v>
      </c>
      <c r="F49" s="107">
        <v>8</v>
      </c>
      <c r="G49" s="107">
        <v>9</v>
      </c>
      <c r="H49" s="107"/>
      <c r="I49" s="107"/>
      <c r="J49" s="107"/>
      <c r="K49" s="81">
        <f t="shared" si="0"/>
        <v>34</v>
      </c>
    </row>
    <row r="50" spans="1:11" ht="13.5" outlineLevel="1" thickBot="1" x14ac:dyDescent="0.25">
      <c r="A50" s="89"/>
      <c r="B50" s="89"/>
      <c r="C50" s="90" t="s">
        <v>0</v>
      </c>
      <c r="D50" s="89">
        <f t="shared" ref="D50:K50" si="6">SUM(D2:D49)</f>
        <v>48</v>
      </c>
      <c r="E50" s="89">
        <f t="shared" si="6"/>
        <v>53</v>
      </c>
      <c r="F50" s="89">
        <f t="shared" si="6"/>
        <v>53</v>
      </c>
      <c r="G50" s="89">
        <f t="shared" si="6"/>
        <v>58</v>
      </c>
      <c r="H50" s="89">
        <f t="shared" si="6"/>
        <v>0</v>
      </c>
      <c r="I50" s="89">
        <f t="shared" si="6"/>
        <v>0</v>
      </c>
      <c r="J50" s="89">
        <f t="shared" si="6"/>
        <v>0</v>
      </c>
      <c r="K50" s="89">
        <f t="shared" si="6"/>
        <v>212</v>
      </c>
    </row>
    <row r="51" spans="1:11" ht="13.5" outlineLevel="1" thickTop="1" x14ac:dyDescent="0.2">
      <c r="A51" s="87" t="s">
        <v>1</v>
      </c>
      <c r="B51" s="87"/>
      <c r="C51" s="104" t="s">
        <v>122</v>
      </c>
      <c r="D51" s="84"/>
      <c r="E51" s="84"/>
      <c r="F51" s="84"/>
      <c r="G51" s="84"/>
      <c r="H51" s="84"/>
      <c r="I51" s="84"/>
      <c r="J51" s="84"/>
      <c r="K51" s="81"/>
    </row>
    <row r="52" spans="1:11" outlineLevel="1" x14ac:dyDescent="0.2">
      <c r="A52" s="78" t="s">
        <v>4</v>
      </c>
      <c r="B52" s="84"/>
      <c r="C52" s="88">
        <f>6/45</f>
        <v>0.13333333333333333</v>
      </c>
      <c r="D52" s="84">
        <f>SUM(D2:D5)</f>
        <v>0</v>
      </c>
      <c r="E52" s="84">
        <f t="shared" ref="E52:K52" si="7">SUM(E2:E5)</f>
        <v>1</v>
      </c>
      <c r="F52" s="84">
        <f t="shared" si="7"/>
        <v>0</v>
      </c>
      <c r="G52" s="84">
        <f t="shared" si="7"/>
        <v>0</v>
      </c>
      <c r="H52" s="84">
        <f t="shared" si="7"/>
        <v>0</v>
      </c>
      <c r="I52" s="84">
        <f t="shared" si="7"/>
        <v>0</v>
      </c>
      <c r="J52" s="84">
        <f t="shared" si="7"/>
        <v>0</v>
      </c>
      <c r="K52" s="84">
        <f t="shared" si="7"/>
        <v>1</v>
      </c>
    </row>
    <row r="53" spans="1:11" outlineLevel="1" x14ac:dyDescent="0.2">
      <c r="A53" s="78" t="s">
        <v>5</v>
      </c>
      <c r="B53" s="84"/>
      <c r="C53" s="88">
        <f>13/45</f>
        <v>0.28888888888888886</v>
      </c>
      <c r="D53" s="84">
        <f>SUM(D10:D13)</f>
        <v>0</v>
      </c>
      <c r="E53" s="84">
        <f t="shared" ref="E53:K53" si="8">SUM(E10:E13)</f>
        <v>0</v>
      </c>
      <c r="F53" s="84">
        <f t="shared" si="8"/>
        <v>0</v>
      </c>
      <c r="G53" s="84">
        <f t="shared" si="8"/>
        <v>0</v>
      </c>
      <c r="H53" s="84">
        <f t="shared" si="8"/>
        <v>0</v>
      </c>
      <c r="I53" s="84">
        <f t="shared" si="8"/>
        <v>0</v>
      </c>
      <c r="J53" s="84">
        <f t="shared" si="8"/>
        <v>0</v>
      </c>
      <c r="K53" s="84">
        <f t="shared" si="8"/>
        <v>0</v>
      </c>
    </row>
    <row r="54" spans="1:11" outlineLevel="1" x14ac:dyDescent="0.2">
      <c r="A54" s="78" t="s">
        <v>6</v>
      </c>
      <c r="B54" s="84"/>
      <c r="C54" s="88">
        <f>21/45</f>
        <v>0.46666666666666667</v>
      </c>
      <c r="D54" s="84">
        <f>SUM(D18:D21)</f>
        <v>0</v>
      </c>
      <c r="E54" s="84">
        <f t="shared" ref="E54:K54" si="9">SUM(E18:E21)</f>
        <v>0</v>
      </c>
      <c r="F54" s="84">
        <f t="shared" si="9"/>
        <v>0</v>
      </c>
      <c r="G54" s="84">
        <f t="shared" si="9"/>
        <v>2</v>
      </c>
      <c r="H54" s="84">
        <f t="shared" si="9"/>
        <v>0</v>
      </c>
      <c r="I54" s="84">
        <f t="shared" si="9"/>
        <v>0</v>
      </c>
      <c r="J54" s="84">
        <f t="shared" si="9"/>
        <v>0</v>
      </c>
      <c r="K54" s="84">
        <f t="shared" si="9"/>
        <v>2</v>
      </c>
    </row>
    <row r="55" spans="1:11" outlineLevel="1" x14ac:dyDescent="0.2">
      <c r="A55" s="78" t="s">
        <v>7</v>
      </c>
      <c r="B55" s="84"/>
      <c r="C55" s="88">
        <f>29/45</f>
        <v>0.64444444444444449</v>
      </c>
      <c r="D55" s="84">
        <f>SUM(D26:D29)</f>
        <v>0</v>
      </c>
      <c r="E55" s="84">
        <f t="shared" ref="E55:K55" si="10">SUM(E26:E29)</f>
        <v>0</v>
      </c>
      <c r="F55" s="84">
        <f t="shared" si="10"/>
        <v>0</v>
      </c>
      <c r="G55" s="84">
        <f t="shared" si="10"/>
        <v>0</v>
      </c>
      <c r="H55" s="84">
        <f t="shared" si="10"/>
        <v>0</v>
      </c>
      <c r="I55" s="84">
        <f t="shared" si="10"/>
        <v>0</v>
      </c>
      <c r="J55" s="84">
        <f t="shared" si="10"/>
        <v>0</v>
      </c>
      <c r="K55" s="84">
        <f t="shared" si="10"/>
        <v>0</v>
      </c>
    </row>
    <row r="56" spans="1:11" outlineLevel="1" x14ac:dyDescent="0.2">
      <c r="A56" s="78" t="s">
        <v>8</v>
      </c>
      <c r="B56" s="84"/>
      <c r="C56" s="88">
        <f>37/45</f>
        <v>0.82222222222222219</v>
      </c>
      <c r="D56" s="84">
        <f>SUM(D34:D37)</f>
        <v>2</v>
      </c>
      <c r="E56" s="84">
        <f t="shared" ref="E56:K56" si="11">SUM(E34:E37)</f>
        <v>0</v>
      </c>
      <c r="F56" s="84">
        <f t="shared" si="11"/>
        <v>0</v>
      </c>
      <c r="G56" s="84">
        <f t="shared" si="11"/>
        <v>0</v>
      </c>
      <c r="H56" s="84">
        <f t="shared" si="11"/>
        <v>0</v>
      </c>
      <c r="I56" s="84">
        <f t="shared" si="11"/>
        <v>0</v>
      </c>
      <c r="J56" s="84">
        <f t="shared" si="11"/>
        <v>0</v>
      </c>
      <c r="K56" s="84">
        <f t="shared" si="11"/>
        <v>2</v>
      </c>
    </row>
    <row r="57" spans="1:11" outlineLevel="1" x14ac:dyDescent="0.2">
      <c r="A57" s="85" t="s">
        <v>9</v>
      </c>
      <c r="B57" s="84"/>
      <c r="C57" s="88">
        <f>45/45</f>
        <v>1</v>
      </c>
      <c r="D57" s="84">
        <f>SUM(D42:D45)</f>
        <v>17</v>
      </c>
      <c r="E57" s="84">
        <f t="shared" ref="E57:K57" si="12">SUM(E42:E45)</f>
        <v>16</v>
      </c>
      <c r="F57" s="84">
        <f t="shared" si="12"/>
        <v>14</v>
      </c>
      <c r="G57" s="84">
        <f t="shared" si="12"/>
        <v>15</v>
      </c>
      <c r="H57" s="84">
        <f t="shared" si="12"/>
        <v>0</v>
      </c>
      <c r="I57" s="84">
        <f t="shared" si="12"/>
        <v>0</v>
      </c>
      <c r="J57" s="84">
        <f t="shared" si="12"/>
        <v>0</v>
      </c>
      <c r="K57" s="84">
        <f t="shared" si="12"/>
        <v>62</v>
      </c>
    </row>
    <row r="58" spans="1:11" ht="20.25" customHeight="1" outlineLevel="1" x14ac:dyDescent="0.2">
      <c r="A58" s="87" t="s">
        <v>10</v>
      </c>
      <c r="B58" s="84"/>
      <c r="C58" s="86"/>
      <c r="D58" s="84"/>
      <c r="E58" s="84"/>
      <c r="F58" s="84"/>
      <c r="G58" s="84"/>
      <c r="H58" s="84"/>
      <c r="I58" s="84"/>
      <c r="J58" s="84"/>
      <c r="K58" s="79"/>
    </row>
    <row r="59" spans="1:11" outlineLevel="1" x14ac:dyDescent="0.2">
      <c r="A59" s="78" t="s">
        <v>4</v>
      </c>
      <c r="B59" s="84"/>
      <c r="C59" s="88">
        <f>6/45</f>
        <v>0.13333333333333333</v>
      </c>
      <c r="D59" s="84">
        <f>SUM(D6:D9)</f>
        <v>0</v>
      </c>
      <c r="E59" s="84">
        <f t="shared" ref="E59:K59" si="13">SUM(E6:E9)</f>
        <v>0</v>
      </c>
      <c r="F59" s="84">
        <f t="shared" si="13"/>
        <v>0</v>
      </c>
      <c r="G59" s="84">
        <f t="shared" si="13"/>
        <v>0</v>
      </c>
      <c r="H59" s="84">
        <f t="shared" si="13"/>
        <v>0</v>
      </c>
      <c r="I59" s="84">
        <f t="shared" si="13"/>
        <v>0</v>
      </c>
      <c r="J59" s="84">
        <f t="shared" si="13"/>
        <v>0</v>
      </c>
      <c r="K59" s="84">
        <f t="shared" si="13"/>
        <v>0</v>
      </c>
    </row>
    <row r="60" spans="1:11" outlineLevel="1" x14ac:dyDescent="0.2">
      <c r="A60" s="78" t="s">
        <v>5</v>
      </c>
      <c r="B60" s="84"/>
      <c r="C60" s="88">
        <f>13/45</f>
        <v>0.28888888888888886</v>
      </c>
      <c r="D60" s="84">
        <f>SUM(D14:D17)</f>
        <v>0</v>
      </c>
      <c r="E60" s="84">
        <f t="shared" ref="E60:K60" si="14">SUM(E14:E17)</f>
        <v>0</v>
      </c>
      <c r="F60" s="84">
        <f t="shared" si="14"/>
        <v>0</v>
      </c>
      <c r="G60" s="84">
        <f t="shared" si="14"/>
        <v>0</v>
      </c>
      <c r="H60" s="84">
        <f t="shared" si="14"/>
        <v>0</v>
      </c>
      <c r="I60" s="84">
        <f t="shared" si="14"/>
        <v>0</v>
      </c>
      <c r="J60" s="84">
        <f t="shared" si="14"/>
        <v>0</v>
      </c>
      <c r="K60" s="84">
        <f t="shared" si="14"/>
        <v>0</v>
      </c>
    </row>
    <row r="61" spans="1:11" outlineLevel="1" x14ac:dyDescent="0.2">
      <c r="A61" s="78" t="s">
        <v>6</v>
      </c>
      <c r="B61" s="84"/>
      <c r="C61" s="88">
        <f>21/45</f>
        <v>0.46666666666666667</v>
      </c>
      <c r="D61" s="84">
        <f>SUM(D22:D25)</f>
        <v>0</v>
      </c>
      <c r="E61" s="84">
        <f t="shared" ref="E61:K61" si="15">SUM(E22:E25)</f>
        <v>0</v>
      </c>
      <c r="F61" s="84">
        <f t="shared" si="15"/>
        <v>1</v>
      </c>
      <c r="G61" s="84">
        <f t="shared" si="15"/>
        <v>5</v>
      </c>
      <c r="H61" s="84">
        <f t="shared" si="15"/>
        <v>0</v>
      </c>
      <c r="I61" s="84">
        <f t="shared" si="15"/>
        <v>0</v>
      </c>
      <c r="J61" s="84">
        <f t="shared" si="15"/>
        <v>0</v>
      </c>
      <c r="K61" s="84">
        <f t="shared" si="15"/>
        <v>6</v>
      </c>
    </row>
    <row r="62" spans="1:11" outlineLevel="1" x14ac:dyDescent="0.2">
      <c r="A62" s="78" t="s">
        <v>7</v>
      </c>
      <c r="B62" s="84"/>
      <c r="C62" s="88">
        <f>29/45</f>
        <v>0.64444444444444449</v>
      </c>
      <c r="D62" s="84">
        <f>SUM(D30:D33)</f>
        <v>0</v>
      </c>
      <c r="E62" s="84">
        <f t="shared" ref="E62:K62" si="16">SUM(E30:E33)</f>
        <v>0</v>
      </c>
      <c r="F62" s="84">
        <f t="shared" si="16"/>
        <v>0</v>
      </c>
      <c r="G62" s="84">
        <f t="shared" si="16"/>
        <v>0</v>
      </c>
      <c r="H62" s="84">
        <f t="shared" si="16"/>
        <v>0</v>
      </c>
      <c r="I62" s="84">
        <f t="shared" si="16"/>
        <v>0</v>
      </c>
      <c r="J62" s="84">
        <f t="shared" si="16"/>
        <v>0</v>
      </c>
      <c r="K62" s="84">
        <f t="shared" si="16"/>
        <v>0</v>
      </c>
    </row>
    <row r="63" spans="1:11" outlineLevel="1" x14ac:dyDescent="0.2">
      <c r="A63" s="78" t="s">
        <v>8</v>
      </c>
      <c r="B63" s="84"/>
      <c r="C63" s="88">
        <f>37/45</f>
        <v>0.82222222222222219</v>
      </c>
      <c r="D63" s="84">
        <f>SUM(D38:D41)</f>
        <v>1</v>
      </c>
      <c r="E63" s="84">
        <f t="shared" ref="E63:K63" si="17">SUM(E38:E41)</f>
        <v>0</v>
      </c>
      <c r="F63" s="84">
        <f t="shared" si="17"/>
        <v>3</v>
      </c>
      <c r="G63" s="84">
        <f t="shared" si="17"/>
        <v>0</v>
      </c>
      <c r="H63" s="84">
        <f t="shared" si="17"/>
        <v>0</v>
      </c>
      <c r="I63" s="84">
        <f t="shared" si="17"/>
        <v>0</v>
      </c>
      <c r="J63" s="84">
        <f t="shared" si="17"/>
        <v>0</v>
      </c>
      <c r="K63" s="84">
        <f t="shared" si="17"/>
        <v>4</v>
      </c>
    </row>
    <row r="64" spans="1:11" outlineLevel="1" x14ac:dyDescent="0.2">
      <c r="A64" s="85" t="s">
        <v>9</v>
      </c>
      <c r="B64" s="84"/>
      <c r="C64" s="88">
        <f>45/45</f>
        <v>1</v>
      </c>
      <c r="D64" s="84">
        <f>SUM(D46:D49)</f>
        <v>28</v>
      </c>
      <c r="E64" s="84">
        <f t="shared" ref="E64:K64" si="18">SUM(E46:E49)</f>
        <v>36</v>
      </c>
      <c r="F64" s="84">
        <f t="shared" si="18"/>
        <v>35</v>
      </c>
      <c r="G64" s="84">
        <f t="shared" si="18"/>
        <v>36</v>
      </c>
      <c r="H64" s="84">
        <f t="shared" si="18"/>
        <v>0</v>
      </c>
      <c r="I64" s="84">
        <f t="shared" si="18"/>
        <v>0</v>
      </c>
      <c r="J64" s="84">
        <f t="shared" si="18"/>
        <v>0</v>
      </c>
      <c r="K64" s="84">
        <f t="shared" si="18"/>
        <v>135</v>
      </c>
    </row>
    <row r="65" spans="1:12" ht="20.25" customHeight="1" x14ac:dyDescent="0.2">
      <c r="A65" s="78" t="s">
        <v>1</v>
      </c>
      <c r="C65" s="78"/>
      <c r="D65" s="14">
        <f>SUM(D52:D57)</f>
        <v>19</v>
      </c>
      <c r="E65" s="14">
        <f t="shared" ref="E65:J65" si="19">SUM(E52:E57)</f>
        <v>17</v>
      </c>
      <c r="F65" s="14">
        <f t="shared" si="19"/>
        <v>14</v>
      </c>
      <c r="G65" s="14">
        <f t="shared" si="19"/>
        <v>17</v>
      </c>
      <c r="H65" s="14">
        <f t="shared" si="19"/>
        <v>0</v>
      </c>
      <c r="I65" s="14">
        <f t="shared" si="19"/>
        <v>0</v>
      </c>
      <c r="J65" s="14">
        <f t="shared" si="19"/>
        <v>0</v>
      </c>
      <c r="K65" s="79">
        <f t="shared" ref="K65:K71" si="20">SUM(D65:J65)</f>
        <v>67</v>
      </c>
    </row>
    <row r="66" spans="1:12" x14ac:dyDescent="0.2">
      <c r="A66" s="78" t="s">
        <v>10</v>
      </c>
      <c r="C66" s="78"/>
      <c r="D66" s="14">
        <f>SUM(D59:D64)</f>
        <v>29</v>
      </c>
      <c r="E66" s="14">
        <f t="shared" ref="E66:J66" si="21">SUM(E59:E64)</f>
        <v>36</v>
      </c>
      <c r="F66" s="14">
        <f t="shared" si="21"/>
        <v>39</v>
      </c>
      <c r="G66" s="14">
        <f t="shared" si="21"/>
        <v>41</v>
      </c>
      <c r="H66" s="14">
        <f t="shared" si="21"/>
        <v>0</v>
      </c>
      <c r="I66" s="14">
        <f t="shared" si="21"/>
        <v>0</v>
      </c>
      <c r="J66" s="14">
        <f t="shared" si="21"/>
        <v>0</v>
      </c>
      <c r="K66" s="79">
        <f t="shared" si="20"/>
        <v>145</v>
      </c>
    </row>
    <row r="67" spans="1:12" ht="13.5" thickBot="1" x14ac:dyDescent="0.25">
      <c r="A67" s="90" t="s">
        <v>19</v>
      </c>
      <c r="B67" s="89"/>
      <c r="C67" s="90"/>
      <c r="D67" s="89">
        <f t="shared" ref="D67:J67" si="22">SUM(D65:D66)</f>
        <v>48</v>
      </c>
      <c r="E67" s="89">
        <f t="shared" si="22"/>
        <v>53</v>
      </c>
      <c r="F67" s="89">
        <f t="shared" si="22"/>
        <v>53</v>
      </c>
      <c r="G67" s="89">
        <f t="shared" si="22"/>
        <v>58</v>
      </c>
      <c r="H67" s="89">
        <f t="shared" si="22"/>
        <v>0</v>
      </c>
      <c r="I67" s="89">
        <f t="shared" si="22"/>
        <v>0</v>
      </c>
      <c r="J67" s="89">
        <f t="shared" si="22"/>
        <v>0</v>
      </c>
      <c r="K67" s="91">
        <f t="shared" si="20"/>
        <v>212</v>
      </c>
    </row>
    <row r="68" spans="1:12" ht="13.5" thickTop="1" x14ac:dyDescent="0.2">
      <c r="D68" s="190">
        <f>D69*2+D70</f>
        <v>66.111111111111114</v>
      </c>
      <c r="E68" s="190">
        <f t="shared" ref="E68:G68" si="23">E69*2+E70</f>
        <v>68.266666666666666</v>
      </c>
      <c r="F68" s="190">
        <f t="shared" si="23"/>
        <v>65.933333333333337</v>
      </c>
      <c r="G68" s="190">
        <f t="shared" si="23"/>
        <v>70.2</v>
      </c>
      <c r="K68" s="81"/>
    </row>
    <row r="69" spans="1:12" x14ac:dyDescent="0.2">
      <c r="A69" s="78" t="s">
        <v>22</v>
      </c>
      <c r="C69" s="78"/>
      <c r="D69" s="92">
        <f t="shared" ref="D69:J69" si="24">SUMPRODUCT(D52:D57,$C$52:$C$57)</f>
        <v>18.644444444444446</v>
      </c>
      <c r="E69" s="92">
        <f t="shared" si="24"/>
        <v>16.133333333333333</v>
      </c>
      <c r="F69" s="92">
        <f t="shared" si="24"/>
        <v>14</v>
      </c>
      <c r="G69" s="92">
        <f t="shared" si="24"/>
        <v>15.933333333333334</v>
      </c>
      <c r="H69" s="92">
        <f t="shared" si="24"/>
        <v>0</v>
      </c>
      <c r="I69" s="92">
        <f t="shared" si="24"/>
        <v>0</v>
      </c>
      <c r="J69" s="92">
        <f t="shared" si="24"/>
        <v>0</v>
      </c>
      <c r="K69" s="92">
        <f t="shared" si="20"/>
        <v>64.711111111111109</v>
      </c>
    </row>
    <row r="70" spans="1:12" x14ac:dyDescent="0.2">
      <c r="A70" s="78" t="s">
        <v>23</v>
      </c>
      <c r="C70" s="78"/>
      <c r="D70" s="92">
        <f t="shared" ref="D70:J70" si="25">SUMPRODUCT(D59:D64,$C$59:$C$64)</f>
        <v>28.822222222222223</v>
      </c>
      <c r="E70" s="92">
        <f t="shared" si="25"/>
        <v>36</v>
      </c>
      <c r="F70" s="92">
        <f t="shared" si="25"/>
        <v>37.933333333333337</v>
      </c>
      <c r="G70" s="92">
        <f t="shared" si="25"/>
        <v>38.333333333333336</v>
      </c>
      <c r="H70" s="92">
        <f t="shared" si="25"/>
        <v>0</v>
      </c>
      <c r="I70" s="92">
        <f t="shared" si="25"/>
        <v>0</v>
      </c>
      <c r="J70" s="92">
        <f t="shared" si="25"/>
        <v>0</v>
      </c>
      <c r="K70" s="92">
        <f t="shared" si="20"/>
        <v>141.0888888888889</v>
      </c>
    </row>
    <row r="71" spans="1:12" ht="13.5" thickBot="1" x14ac:dyDescent="0.25">
      <c r="A71" s="90" t="s">
        <v>24</v>
      </c>
      <c r="B71" s="89"/>
      <c r="C71" s="90"/>
      <c r="D71" s="93">
        <f t="shared" ref="D71:J71" si="26">SUM(D69:D70)</f>
        <v>47.466666666666669</v>
      </c>
      <c r="E71" s="93">
        <f t="shared" si="26"/>
        <v>52.133333333333333</v>
      </c>
      <c r="F71" s="93">
        <f t="shared" si="26"/>
        <v>51.933333333333337</v>
      </c>
      <c r="G71" s="93">
        <f t="shared" si="26"/>
        <v>54.266666666666666</v>
      </c>
      <c r="H71" s="93">
        <f t="shared" si="26"/>
        <v>0</v>
      </c>
      <c r="I71" s="93">
        <f t="shared" si="26"/>
        <v>0</v>
      </c>
      <c r="J71" s="93">
        <f t="shared" si="26"/>
        <v>0</v>
      </c>
      <c r="K71" s="94">
        <f t="shared" si="20"/>
        <v>205.8</v>
      </c>
    </row>
    <row r="72" spans="1:12" ht="25.9" customHeight="1" thickTop="1" x14ac:dyDescent="0.2">
      <c r="A72" s="32" t="s">
        <v>133</v>
      </c>
      <c r="C72" s="2"/>
      <c r="D72" s="32" t="str">
        <f>D1</f>
        <v>Privat 1</v>
      </c>
      <c r="E72" s="32" t="str">
        <f t="shared" ref="E72:K72" si="27">E1</f>
        <v>Privat 2</v>
      </c>
      <c r="F72" s="32" t="str">
        <f t="shared" si="27"/>
        <v>Privat 3</v>
      </c>
      <c r="G72" s="32" t="str">
        <f t="shared" si="27"/>
        <v>Privat 4</v>
      </c>
      <c r="H72" s="32" t="str">
        <f t="shared" si="27"/>
        <v>Privat 5</v>
      </c>
      <c r="I72" s="32" t="str">
        <f t="shared" si="27"/>
        <v>Privat 6</v>
      </c>
      <c r="J72" s="32" t="str">
        <f t="shared" si="27"/>
        <v>Privat 7</v>
      </c>
      <c r="K72" s="32" t="str">
        <f t="shared" si="27"/>
        <v>Sum</v>
      </c>
    </row>
    <row r="73" spans="1:12" x14ac:dyDescent="0.2">
      <c r="A73" s="5" t="s">
        <v>31</v>
      </c>
      <c r="B73" s="5"/>
      <c r="C73" s="2"/>
      <c r="D73" s="6">
        <f>'4. Selvkost kommunen'!D76</f>
        <v>191248.0245559639</v>
      </c>
      <c r="E73" s="6">
        <f>D73</f>
        <v>191248.0245559639</v>
      </c>
      <c r="F73" s="6">
        <f t="shared" ref="F73:H74" si="28">E73</f>
        <v>191248.0245559639</v>
      </c>
      <c r="G73" s="6">
        <f t="shared" si="28"/>
        <v>191248.0245559639</v>
      </c>
      <c r="H73" s="6">
        <f t="shared" si="28"/>
        <v>191248.0245559639</v>
      </c>
      <c r="I73" s="6">
        <f>E73</f>
        <v>191248.0245559639</v>
      </c>
      <c r="J73" s="6">
        <f>I73</f>
        <v>191248.0245559639</v>
      </c>
      <c r="K73" s="10"/>
    </row>
    <row r="74" spans="1:12" x14ac:dyDescent="0.2">
      <c r="A74" s="5" t="s">
        <v>32</v>
      </c>
      <c r="B74" s="5"/>
      <c r="C74" s="2"/>
      <c r="D74" s="6">
        <f>'4. Selvkost kommunen'!D77</f>
        <v>91415.269541119269</v>
      </c>
      <c r="E74" s="6">
        <f>D74</f>
        <v>91415.269541119269</v>
      </c>
      <c r="F74" s="6">
        <f t="shared" si="28"/>
        <v>91415.269541119269</v>
      </c>
      <c r="G74" s="6">
        <f t="shared" si="28"/>
        <v>91415.269541119269</v>
      </c>
      <c r="H74" s="6">
        <f t="shared" si="28"/>
        <v>91415.269541119269</v>
      </c>
      <c r="I74" s="6">
        <f>E74</f>
        <v>91415.269541119269</v>
      </c>
      <c r="J74" s="6">
        <f>I74</f>
        <v>91415.269541119269</v>
      </c>
      <c r="K74" s="10"/>
    </row>
    <row r="75" spans="1:12" x14ac:dyDescent="0.2">
      <c r="A75" s="5" t="s">
        <v>33</v>
      </c>
      <c r="B75" s="5"/>
      <c r="C75" s="2"/>
      <c r="D75" s="6">
        <f>'5. Kapitaltilskudd'!C8</f>
        <v>15807.368421052632</v>
      </c>
      <c r="E75" s="6">
        <f>'5. Kapitaltilskudd'!D8</f>
        <v>9500</v>
      </c>
      <c r="F75" s="6">
        <f>'5. Kapitaltilskudd'!E8</f>
        <v>21400</v>
      </c>
      <c r="G75" s="6">
        <f>'5. Kapitaltilskudd'!F8</f>
        <v>9500</v>
      </c>
      <c r="H75" s="6" t="e">
        <f>'5. Kapitaltilskudd'!G8</f>
        <v>#N/A</v>
      </c>
      <c r="I75" s="6" t="e">
        <f>'5. Kapitaltilskudd'!H8</f>
        <v>#N/A</v>
      </c>
      <c r="J75" s="6" t="e">
        <f>'5. Kapitaltilskudd'!I8</f>
        <v>#N/A</v>
      </c>
      <c r="K75" s="10"/>
    </row>
    <row r="76" spans="1:12" x14ac:dyDescent="0.2">
      <c r="A76" s="5"/>
      <c r="B76" s="5"/>
      <c r="C76" s="2"/>
      <c r="D76" s="6"/>
      <c r="E76" s="6"/>
      <c r="F76" s="6"/>
      <c r="G76" s="6"/>
      <c r="H76" s="6"/>
      <c r="I76" s="6"/>
      <c r="J76" s="6"/>
      <c r="K76" s="10"/>
    </row>
    <row r="77" spans="1:12" ht="14.25" x14ac:dyDescent="0.2">
      <c r="A77" s="19" t="s">
        <v>250</v>
      </c>
      <c r="B77" s="39"/>
      <c r="C77" s="39"/>
      <c r="D77" s="6"/>
      <c r="E77" s="6"/>
      <c r="F77" s="6"/>
      <c r="G77" s="6"/>
      <c r="H77" s="6"/>
      <c r="I77" s="6"/>
      <c r="J77" s="6"/>
      <c r="K77" s="10"/>
    </row>
    <row r="78" spans="1:12" ht="14.25" x14ac:dyDescent="0.2">
      <c r="A78" s="39" t="s">
        <v>249</v>
      </c>
      <c r="B78" s="39"/>
      <c r="C78" s="39"/>
      <c r="D78" s="6">
        <f>'6a. Tilskudd private vår'!D79</f>
        <v>0</v>
      </c>
      <c r="E78" s="6">
        <f>D78</f>
        <v>0</v>
      </c>
      <c r="F78" s="6">
        <f t="shared" ref="F78:J79" si="29">E78</f>
        <v>0</v>
      </c>
      <c r="G78" s="6">
        <f t="shared" si="29"/>
        <v>0</v>
      </c>
      <c r="H78" s="6">
        <f t="shared" si="29"/>
        <v>0</v>
      </c>
      <c r="I78" s="6">
        <f t="shared" si="29"/>
        <v>0</v>
      </c>
      <c r="J78" s="6">
        <f t="shared" si="29"/>
        <v>0</v>
      </c>
      <c r="K78" s="10"/>
      <c r="L78" s="264" t="s">
        <v>280</v>
      </c>
    </row>
    <row r="79" spans="1:12" ht="14.25" x14ac:dyDescent="0.2">
      <c r="A79" s="39" t="s">
        <v>248</v>
      </c>
      <c r="B79" s="39"/>
      <c r="C79" s="39"/>
      <c r="D79" s="6">
        <f>'6a. Tilskudd private vår'!D80</f>
        <v>0</v>
      </c>
      <c r="E79" s="6">
        <f>D79</f>
        <v>0</v>
      </c>
      <c r="F79" s="6">
        <f t="shared" si="29"/>
        <v>0</v>
      </c>
      <c r="G79" s="6">
        <f t="shared" si="29"/>
        <v>0</v>
      </c>
      <c r="H79" s="6">
        <f t="shared" si="29"/>
        <v>0</v>
      </c>
      <c r="I79" s="6">
        <f t="shared" si="29"/>
        <v>0</v>
      </c>
      <c r="J79" s="6">
        <f t="shared" si="29"/>
        <v>0</v>
      </c>
      <c r="K79" s="10"/>
      <c r="L79" s="264" t="s">
        <v>280</v>
      </c>
    </row>
    <row r="80" spans="1:12" ht="14.25" x14ac:dyDescent="0.2">
      <c r="A80" s="39"/>
      <c r="B80" s="39"/>
      <c r="C80" s="39"/>
      <c r="D80" s="6"/>
      <c r="E80" s="6"/>
      <c r="F80" s="6"/>
      <c r="G80" s="6"/>
      <c r="H80" s="6"/>
      <c r="I80" s="6"/>
      <c r="J80" s="6"/>
      <c r="K80" s="10"/>
    </row>
    <row r="81" spans="1:11" ht="24" customHeight="1" x14ac:dyDescent="0.25">
      <c r="A81" s="32" t="s">
        <v>119</v>
      </c>
      <c r="B81" s="20"/>
      <c r="C81" s="21"/>
      <c r="D81" s="22"/>
      <c r="E81" s="22"/>
      <c r="F81" s="22"/>
      <c r="G81" s="22"/>
      <c r="H81" s="22"/>
      <c r="I81" s="22"/>
      <c r="J81" s="22"/>
      <c r="K81" s="22"/>
    </row>
    <row r="82" spans="1:11" x14ac:dyDescent="0.2">
      <c r="A82" s="2" t="s">
        <v>15</v>
      </c>
      <c r="B82" s="2"/>
      <c r="C82" s="23" t="s">
        <v>1</v>
      </c>
      <c r="D82" s="10">
        <f>D69*(D73+D78)</f>
        <v>3565713.1689434159</v>
      </c>
      <c r="E82" s="10">
        <f t="shared" ref="E82:G82" si="30">E69*(E73+E78)</f>
        <v>3085468.1295028841</v>
      </c>
      <c r="F82" s="10">
        <f t="shared" si="30"/>
        <v>2677472.3437834946</v>
      </c>
      <c r="G82" s="10">
        <f t="shared" si="30"/>
        <v>3047218.5245916913</v>
      </c>
      <c r="H82" s="10">
        <f t="shared" ref="H82:J82" si="31">H69*H73</f>
        <v>0</v>
      </c>
      <c r="I82" s="10">
        <f t="shared" si="31"/>
        <v>0</v>
      </c>
      <c r="J82" s="10">
        <f t="shared" si="31"/>
        <v>0</v>
      </c>
      <c r="K82" s="10">
        <f>SUM(D82:J82)</f>
        <v>12375872.166821485</v>
      </c>
    </row>
    <row r="83" spans="1:11" x14ac:dyDescent="0.2">
      <c r="A83" s="2"/>
      <c r="B83" s="2"/>
      <c r="C83" s="23" t="s">
        <v>10</v>
      </c>
      <c r="D83" s="10">
        <f>D70*(D74+D79)</f>
        <v>2634791.2132184822</v>
      </c>
      <c r="E83" s="10">
        <f t="shared" ref="E83:G83" si="32">E70*(E74+E79)</f>
        <v>3290949.7034802935</v>
      </c>
      <c r="F83" s="10">
        <f t="shared" si="32"/>
        <v>3467685.8912597913</v>
      </c>
      <c r="G83" s="10">
        <f t="shared" si="32"/>
        <v>3504251.9990762388</v>
      </c>
      <c r="H83" s="10">
        <f t="shared" ref="H83:J83" si="33">H70*H74</f>
        <v>0</v>
      </c>
      <c r="I83" s="10">
        <f t="shared" si="33"/>
        <v>0</v>
      </c>
      <c r="J83" s="10">
        <f t="shared" si="33"/>
        <v>0</v>
      </c>
      <c r="K83" s="10">
        <f>SUM(D83:J83)</f>
        <v>12897678.807034805</v>
      </c>
    </row>
    <row r="84" spans="1:11" x14ac:dyDescent="0.2">
      <c r="A84" s="2" t="s">
        <v>16</v>
      </c>
      <c r="B84" s="2"/>
      <c r="C84" s="23" t="s">
        <v>18</v>
      </c>
      <c r="D84" s="10">
        <f>D71*D75</f>
        <v>750323.08771929832</v>
      </c>
      <c r="E84" s="10">
        <f t="shared" ref="E84:J84" si="34">E71*E75</f>
        <v>495266.66666666669</v>
      </c>
      <c r="F84" s="10">
        <f t="shared" si="34"/>
        <v>1111373.3333333335</v>
      </c>
      <c r="G84" s="10">
        <f>G71*G75</f>
        <v>515533.33333333331</v>
      </c>
      <c r="H84" s="10" t="e">
        <f>H71*H75</f>
        <v>#N/A</v>
      </c>
      <c r="I84" s="10" t="e">
        <f t="shared" si="34"/>
        <v>#N/A</v>
      </c>
      <c r="J84" s="10" t="e">
        <f t="shared" si="34"/>
        <v>#N/A</v>
      </c>
      <c r="K84" s="10" t="e">
        <f>SUM(D84:J84)</f>
        <v>#N/A</v>
      </c>
    </row>
    <row r="85" spans="1:11" x14ac:dyDescent="0.2">
      <c r="A85" s="5" t="s">
        <v>100</v>
      </c>
      <c r="B85" s="5"/>
      <c r="C85" s="23"/>
      <c r="D85" s="63"/>
      <c r="E85" s="63"/>
      <c r="F85" s="63"/>
      <c r="G85" s="63"/>
      <c r="H85" s="63"/>
      <c r="I85" s="63"/>
      <c r="J85" s="63"/>
      <c r="K85" s="10">
        <f>SUM(D85:J85)</f>
        <v>0</v>
      </c>
    </row>
    <row r="86" spans="1:11" x14ac:dyDescent="0.2">
      <c r="A86" s="5" t="s">
        <v>101</v>
      </c>
      <c r="B86" s="5"/>
      <c r="C86" s="23"/>
      <c r="D86" s="63"/>
      <c r="E86" s="63"/>
      <c r="F86" s="63"/>
      <c r="G86" s="63"/>
      <c r="H86" s="63"/>
      <c r="I86" s="63"/>
      <c r="J86" s="63"/>
      <c r="K86" s="10">
        <f>SUM(D86:J86)</f>
        <v>0</v>
      </c>
    </row>
    <row r="87" spans="1:11" ht="13.5" thickBot="1" x14ac:dyDescent="0.25">
      <c r="A87" s="3" t="s">
        <v>17</v>
      </c>
      <c r="B87" s="3"/>
      <c r="C87" s="24"/>
      <c r="D87" s="11">
        <f t="shared" ref="D87:K87" si="35">SUM(D82:D86)</f>
        <v>6950827.4698811965</v>
      </c>
      <c r="E87" s="11">
        <f t="shared" si="35"/>
        <v>6871684.4996498441</v>
      </c>
      <c r="F87" s="11">
        <f t="shared" si="35"/>
        <v>7256531.5683766194</v>
      </c>
      <c r="G87" s="11">
        <f t="shared" si="35"/>
        <v>7067003.8570012627</v>
      </c>
      <c r="H87" s="11" t="e">
        <f t="shared" si="35"/>
        <v>#N/A</v>
      </c>
      <c r="I87" s="11" t="e">
        <f t="shared" si="35"/>
        <v>#N/A</v>
      </c>
      <c r="J87" s="11" t="e">
        <f t="shared" si="35"/>
        <v>#N/A</v>
      </c>
      <c r="K87" s="11" t="e">
        <f t="shared" si="35"/>
        <v>#N/A</v>
      </c>
    </row>
    <row r="88" spans="1:11" ht="13.5" thickTop="1" x14ac:dyDescent="0.2">
      <c r="A88" s="2"/>
      <c r="B88" s="2"/>
      <c r="C88" s="2"/>
      <c r="D88" s="2"/>
      <c r="E88" s="2"/>
      <c r="F88" s="2"/>
      <c r="G88" s="2"/>
      <c r="H88" s="2"/>
      <c r="I88" s="2"/>
      <c r="J88" s="2"/>
      <c r="K88" s="2"/>
    </row>
    <row r="89" spans="1:11" x14ac:dyDescent="0.2">
      <c r="A89" s="5" t="s">
        <v>123</v>
      </c>
      <c r="B89" s="2"/>
      <c r="C89" s="2"/>
      <c r="D89" s="77">
        <v>5</v>
      </c>
      <c r="E89" s="77">
        <v>5</v>
      </c>
      <c r="F89" s="77">
        <v>5</v>
      </c>
      <c r="G89" s="77">
        <v>5</v>
      </c>
      <c r="H89" s="77">
        <v>5</v>
      </c>
      <c r="I89" s="77">
        <v>5</v>
      </c>
      <c r="J89" s="77">
        <v>5</v>
      </c>
      <c r="K89" s="2"/>
    </row>
    <row r="90" spans="1:11" ht="13.5" thickBot="1" x14ac:dyDescent="0.25">
      <c r="A90" s="106" t="s">
        <v>121</v>
      </c>
      <c r="B90" s="3"/>
      <c r="C90" s="3"/>
      <c r="D90" s="13">
        <f>D87*D89/12</f>
        <v>2896178.1124504986</v>
      </c>
      <c r="E90" s="13">
        <f t="shared" ref="E90:J90" si="36">E87*E89/12</f>
        <v>2863201.8748541013</v>
      </c>
      <c r="F90" s="13">
        <f t="shared" si="36"/>
        <v>3023554.8201569244</v>
      </c>
      <c r="G90" s="13">
        <f t="shared" si="36"/>
        <v>2944584.9404171929</v>
      </c>
      <c r="H90" s="13" t="e">
        <f t="shared" si="36"/>
        <v>#N/A</v>
      </c>
      <c r="I90" s="13" t="e">
        <f t="shared" si="36"/>
        <v>#N/A</v>
      </c>
      <c r="J90" s="13" t="e">
        <f t="shared" si="36"/>
        <v>#N/A</v>
      </c>
      <c r="K90" s="13" t="e">
        <f>SUM(D90:J90)</f>
        <v>#N/A</v>
      </c>
    </row>
    <row r="91" spans="1:11" ht="13.5" thickTop="1" x14ac:dyDescent="0.2">
      <c r="A91" s="2"/>
      <c r="B91" s="2"/>
      <c r="C91" s="2"/>
      <c r="D91" s="2"/>
      <c r="E91" s="2"/>
      <c r="F91" s="2"/>
      <c r="G91" s="2"/>
      <c r="H91" s="2"/>
      <c r="I91" s="2"/>
      <c r="J91" s="2"/>
      <c r="K91" s="2"/>
    </row>
    <row r="92" spans="1:11" ht="13.5" thickBot="1" x14ac:dyDescent="0.25">
      <c r="A92" s="106" t="s">
        <v>124</v>
      </c>
      <c r="B92" s="3"/>
      <c r="C92" s="3"/>
      <c r="D92" s="13">
        <f>D90+'6a. Tilskudd private vår'!D91</f>
        <v>6950827.4698811965</v>
      </c>
      <c r="E92" s="13">
        <f>E90+'6a. Tilskudd private vår'!E91</f>
        <v>6871684.4996498432</v>
      </c>
      <c r="F92" s="13">
        <f>F90+'6a. Tilskudd private vår'!F91</f>
        <v>7256531.5683766194</v>
      </c>
      <c r="G92" s="13">
        <f>G90+'6a. Tilskudd private vår'!G91</f>
        <v>7067003.8570012636</v>
      </c>
      <c r="H92" s="13" t="e">
        <f>H90+'6a. Tilskudd private vår'!H91</f>
        <v>#N/A</v>
      </c>
      <c r="I92" s="13" t="e">
        <f>I90+'6a. Tilskudd private vår'!I91</f>
        <v>#N/A</v>
      </c>
      <c r="J92" s="13" t="e">
        <f>J90+'6a. Tilskudd private vår'!J91</f>
        <v>#N/A</v>
      </c>
      <c r="K92" s="13" t="e">
        <f>K90+'6a. Tilskudd private vår'!K91</f>
        <v>#N/A</v>
      </c>
    </row>
    <row r="93" spans="1:11" ht="13.5" thickTop="1" x14ac:dyDescent="0.2">
      <c r="A93" s="2"/>
      <c r="B93" s="2"/>
      <c r="C93" s="2"/>
      <c r="D93" s="2"/>
      <c r="E93" s="2"/>
      <c r="F93" s="2"/>
      <c r="G93" s="2"/>
      <c r="H93" s="2"/>
      <c r="I93" s="2"/>
      <c r="J93" s="2"/>
      <c r="K93" s="2"/>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12</vt:i4>
      </vt:variant>
      <vt:variant>
        <vt:lpstr>Navngitte områder</vt:lpstr>
      </vt:variant>
      <vt:variant>
        <vt:i4>1</vt:i4>
      </vt:variant>
    </vt:vector>
  </HeadingPairs>
  <TitlesOfParts>
    <vt:vector size="13" baseType="lpstr">
      <vt:lpstr>Bruksanvisning</vt:lpstr>
      <vt:lpstr>1a. Årsmelding 1.1.</vt:lpstr>
      <vt:lpstr>1b. Årsmelding 31.12.</vt:lpstr>
      <vt:lpstr>2. Økonomirapport 201</vt:lpstr>
      <vt:lpstr>3. Økonomirapport 221</vt:lpstr>
      <vt:lpstr>4. Selvkost kommunen</vt:lpstr>
      <vt:lpstr>5. Kapitaltilskudd</vt:lpstr>
      <vt:lpstr>6a. Tilskudd private vår</vt:lpstr>
      <vt:lpstr>6b. Tilskudd private høst</vt:lpstr>
      <vt:lpstr>7. Økonomirapport 211</vt:lpstr>
      <vt:lpstr>8. Søknad om pensjonstilskudd</vt:lpstr>
      <vt:lpstr>Endringslogg</vt:lpstr>
      <vt:lpstr>'2. Økonomirapport 201'!Utskriftstitler</vt:lpstr>
    </vt:vector>
  </TitlesOfParts>
  <Company>Valdres kommuner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Martin Fjordholm</cp:lastModifiedBy>
  <cp:lastPrinted>2017-01-21T17:30:43Z</cp:lastPrinted>
  <dcterms:created xsi:type="dcterms:W3CDTF">2010-05-11T16:49:18Z</dcterms:created>
  <dcterms:modified xsi:type="dcterms:W3CDTF">2019-06-17T10:24:12Z</dcterms:modified>
</cp:coreProperties>
</file>