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14310" windowHeight="8655"/>
  </bookViews>
  <sheets>
    <sheet name="data - oversiktark" sheetId="2" r:id="rId1"/>
    <sheet name="spesifiseringer" sheetId="1" state="hidden" r:id="rId2"/>
  </sheets>
  <calcPr calcId="145621"/>
</workbook>
</file>

<file path=xl/calcChain.xml><?xml version="1.0" encoding="utf-8"?>
<calcChain xmlns="http://schemas.openxmlformats.org/spreadsheetml/2006/main">
  <c r="D8" i="1" l="1"/>
  <c r="G32" i="1" l="1"/>
  <c r="G28" i="1"/>
  <c r="G29" i="1" s="1"/>
  <c r="G30" i="1" s="1"/>
  <c r="G31" i="1" s="1"/>
  <c r="D7" i="1" l="1"/>
  <c r="E5" i="2" l="1"/>
  <c r="E8" i="2"/>
  <c r="D3" i="1"/>
  <c r="D2" i="1"/>
  <c r="K2" i="1"/>
  <c r="K3" i="1" s="1"/>
  <c r="D5" i="1"/>
  <c r="D6" i="1"/>
  <c r="H20" i="1" l="1"/>
  <c r="H21" i="1"/>
  <c r="H19" i="1" s="1"/>
  <c r="M21" i="1"/>
  <c r="M16" i="1" s="1"/>
  <c r="F21" i="1"/>
  <c r="F16" i="1" s="1"/>
  <c r="I21" i="1"/>
  <c r="I16" i="1" s="1"/>
  <c r="H7" i="1"/>
  <c r="L20" i="1"/>
  <c r="L15" i="1" s="1"/>
  <c r="D4" i="1"/>
  <c r="N20" i="1"/>
  <c r="J21" i="1"/>
  <c r="J20" i="1"/>
  <c r="J15" i="1" s="1"/>
  <c r="G20" i="1"/>
  <c r="G15" i="1" s="1"/>
  <c r="N21" i="1"/>
  <c r="N16" i="1" s="1"/>
  <c r="D20" i="1"/>
  <c r="I20" i="1"/>
  <c r="K20" i="1"/>
  <c r="B20" i="1"/>
  <c r="K21" i="1"/>
  <c r="E20" i="1"/>
  <c r="D21" i="1"/>
  <c r="G21" i="1"/>
  <c r="M20" i="1"/>
  <c r="B21" i="1"/>
  <c r="B19" i="1" s="1"/>
  <c r="E21" i="1"/>
  <c r="F20" i="1"/>
  <c r="L21" i="1"/>
  <c r="M19" i="1" l="1"/>
  <c r="M14" i="1" s="1"/>
  <c r="F19" i="1"/>
  <c r="F14" i="1" s="1"/>
  <c r="L18" i="1"/>
  <c r="L13" i="1" s="1"/>
  <c r="C28" i="2"/>
  <c r="C30" i="2"/>
  <c r="C24" i="2"/>
  <c r="N18" i="1"/>
  <c r="N13" i="1" s="1"/>
  <c r="J17" i="1"/>
  <c r="J12" i="1" s="1"/>
  <c r="I19" i="1"/>
  <c r="I14" i="1" s="1"/>
  <c r="H15" i="1"/>
  <c r="N15" i="1"/>
  <c r="H18" i="1"/>
  <c r="H13" i="1" s="1"/>
  <c r="N17" i="1"/>
  <c r="N12" i="1" s="1"/>
  <c r="H17" i="1"/>
  <c r="H12" i="1" s="1"/>
  <c r="H14" i="1"/>
  <c r="H16" i="1"/>
  <c r="G18" i="1"/>
  <c r="G13" i="1" s="1"/>
  <c r="J19" i="1"/>
  <c r="J14" i="1" s="1"/>
  <c r="J16" i="1"/>
  <c r="N19" i="1"/>
  <c r="N14" i="1" s="1"/>
  <c r="C26" i="2"/>
  <c r="J18" i="1"/>
  <c r="J13" i="1" s="1"/>
  <c r="C22" i="2"/>
  <c r="F18" i="1"/>
  <c r="F13" i="1" s="1"/>
  <c r="F17" i="1"/>
  <c r="F12" i="1" s="1"/>
  <c r="F15" i="1"/>
  <c r="G19" i="1"/>
  <c r="G14" i="1" s="1"/>
  <c r="G17" i="1"/>
  <c r="G12" i="1" s="1"/>
  <c r="G16" i="1"/>
  <c r="C23" i="2"/>
  <c r="E18" i="1"/>
  <c r="E13" i="1" s="1"/>
  <c r="C21" i="2"/>
  <c r="E15" i="1"/>
  <c r="B18" i="1"/>
  <c r="B13" i="1" s="1"/>
  <c r="C18" i="2"/>
  <c r="E16" i="1"/>
  <c r="E17" i="1"/>
  <c r="E12" i="1" s="1"/>
  <c r="E19" i="1"/>
  <c r="E14" i="1" s="1"/>
  <c r="K19" i="1"/>
  <c r="K14" i="1" s="1"/>
  <c r="K16" i="1"/>
  <c r="K17" i="1"/>
  <c r="K12" i="1" s="1"/>
  <c r="K15" i="1"/>
  <c r="K18" i="1"/>
  <c r="K13" i="1" s="1"/>
  <c r="C27" i="2"/>
  <c r="I15" i="1"/>
  <c r="C25" i="2"/>
  <c r="I18" i="1"/>
  <c r="I13" i="1" s="1"/>
  <c r="L19" i="1"/>
  <c r="L14" i="1" s="1"/>
  <c r="L16" i="1"/>
  <c r="L17" i="1"/>
  <c r="L12" i="1" s="1"/>
  <c r="M15" i="1"/>
  <c r="M18" i="1"/>
  <c r="M13" i="1" s="1"/>
  <c r="M17" i="1"/>
  <c r="M12" i="1" s="1"/>
  <c r="C29" i="2"/>
  <c r="D16" i="1"/>
  <c r="D17" i="1"/>
  <c r="D19" i="1"/>
  <c r="C21" i="1"/>
  <c r="O21" i="1" s="1"/>
  <c r="C20" i="1"/>
  <c r="O20" i="1" s="1"/>
  <c r="D18" i="1"/>
  <c r="D13" i="1" s="1"/>
  <c r="C20" i="2"/>
  <c r="D15" i="1"/>
  <c r="I17" i="1"/>
  <c r="I12" i="1" s="1"/>
  <c r="I23" i="1" l="1"/>
  <c r="E25" i="2" s="1"/>
  <c r="G23" i="1"/>
  <c r="E23" i="2" s="1"/>
  <c r="J23" i="1"/>
  <c r="E26" i="2" s="1"/>
  <c r="M23" i="1"/>
  <c r="E29" i="2" s="1"/>
  <c r="K23" i="1"/>
  <c r="E27" i="2" s="1"/>
  <c r="E23" i="1"/>
  <c r="E21" i="2" s="1"/>
  <c r="F23" i="1"/>
  <c r="E22" i="2" s="1"/>
  <c r="N23" i="1"/>
  <c r="E30" i="2" s="1"/>
  <c r="L23" i="1"/>
  <c r="E28" i="2" s="1"/>
  <c r="H23" i="1"/>
  <c r="E24" i="2" s="1"/>
  <c r="H22" i="1"/>
  <c r="D24" i="2" s="1"/>
  <c r="N22" i="1"/>
  <c r="D30" i="2" s="1"/>
  <c r="J22" i="1"/>
  <c r="D26" i="2" s="1"/>
  <c r="D12" i="1"/>
  <c r="D23" i="1" s="1"/>
  <c r="B17" i="1"/>
  <c r="B15" i="1"/>
  <c r="L22" i="1"/>
  <c r="D28" i="2" s="1"/>
  <c r="C19" i="1"/>
  <c r="O19" i="1" s="1"/>
  <c r="D14" i="1"/>
  <c r="M22" i="1"/>
  <c r="D29" i="2" s="1"/>
  <c r="E22" i="1"/>
  <c r="D21" i="2" s="1"/>
  <c r="F22" i="1"/>
  <c r="D22" i="2" s="1"/>
  <c r="G22" i="1"/>
  <c r="D23" i="2" s="1"/>
  <c r="I22" i="1"/>
  <c r="D25" i="2" s="1"/>
  <c r="C19" i="2"/>
  <c r="C31" i="2" s="1"/>
  <c r="C18" i="1"/>
  <c r="C13" i="1" s="1"/>
  <c r="O13" i="1" s="1"/>
  <c r="B16" i="1"/>
  <c r="C16" i="1" s="1"/>
  <c r="K22" i="1"/>
  <c r="D27" i="2" s="1"/>
  <c r="G30" i="2" l="1"/>
  <c r="G24" i="2"/>
  <c r="G26" i="2"/>
  <c r="B12" i="1"/>
  <c r="C15" i="1"/>
  <c r="O15" i="1" s="1"/>
  <c r="O18" i="1"/>
  <c r="O16" i="1"/>
  <c r="G25" i="2"/>
  <c r="G28" i="2"/>
  <c r="G23" i="2"/>
  <c r="G22" i="2"/>
  <c r="G29" i="2"/>
  <c r="C17" i="1"/>
  <c r="C12" i="1" s="1"/>
  <c r="G27" i="2"/>
  <c r="G21" i="2"/>
  <c r="B14" i="1"/>
  <c r="E20" i="2"/>
  <c r="D22" i="1"/>
  <c r="D20" i="2" s="1"/>
  <c r="C23" i="1" l="1"/>
  <c r="O23" i="1" s="1"/>
  <c r="O17" i="1"/>
  <c r="B22" i="1"/>
  <c r="D18" i="2" s="1"/>
  <c r="O12" i="1"/>
  <c r="C14" i="1"/>
  <c r="C22" i="1" s="1"/>
  <c r="D19" i="2" s="1"/>
  <c r="G20" i="2"/>
  <c r="B23" i="1" l="1"/>
  <c r="B24" i="1" s="1"/>
  <c r="O14" i="1"/>
  <c r="D31" i="2"/>
  <c r="E19" i="2"/>
  <c r="G19" i="2" s="1"/>
  <c r="O22" i="1"/>
  <c r="E18" i="2" l="1"/>
  <c r="F18" i="2" s="1"/>
  <c r="B25" i="1"/>
  <c r="H32" i="2" s="1"/>
  <c r="G18" i="2" l="1"/>
  <c r="E31" i="2"/>
  <c r="H31" i="2" s="1"/>
  <c r="H18" i="2"/>
  <c r="F19" i="2"/>
  <c r="F20" i="2" l="1"/>
  <c r="H19" i="2"/>
  <c r="H20" i="2" l="1"/>
  <c r="F21" i="2"/>
  <c r="H21" i="2" l="1"/>
  <c r="F22" i="2"/>
  <c r="F23" i="2" l="1"/>
  <c r="H22" i="2"/>
  <c r="H23" i="2" l="1"/>
  <c r="F24" i="2"/>
  <c r="H24" i="2" l="1"/>
  <c r="F25" i="2"/>
  <c r="H25" i="2" l="1"/>
  <c r="F26" i="2"/>
  <c r="H26" i="2" l="1"/>
  <c r="F27" i="2"/>
  <c r="H27" i="2" l="1"/>
  <c r="F28" i="2"/>
  <c r="H28" i="2" l="1"/>
  <c r="F29" i="2"/>
  <c r="H29" i="2" l="1"/>
  <c r="F30" i="2"/>
  <c r="H30" i="2" l="1"/>
  <c r="F31" i="2"/>
</calcChain>
</file>

<file path=xl/comments1.xml><?xml version="1.0" encoding="utf-8"?>
<comments xmlns="http://schemas.openxmlformats.org/spreadsheetml/2006/main">
  <authors>
    <author>Eirik Solberg</author>
  </authors>
  <commentList>
    <comment ref="B5" authorId="0">
      <text>
        <r>
          <rPr>
            <sz val="8"/>
            <color indexed="81"/>
            <rFont val="Tahoma"/>
            <family val="2"/>
          </rPr>
          <t xml:space="preserve">Beløpet her skal ikke inkludere kvelds- og nattilegg, lørdags- og søndagstillegg etc.
</t>
        </r>
      </text>
    </comment>
    <comment ref="B11" authorId="0">
      <text>
        <r>
          <rPr>
            <sz val="8"/>
            <color indexed="81"/>
            <rFont val="Tahoma"/>
            <family val="2"/>
          </rPr>
          <t>Dersom ja beregnes lønn for måned 6 for arbeidstakere &lt; 60 år slik: mndlønn*(-4)/26. Hvis nei, beregnes måned 6 slik: mndlønn*1</t>
        </r>
      </text>
    </comment>
    <comment ref="B13" authorId="0">
      <text>
        <r>
          <rPr>
            <sz val="8"/>
            <color indexed="81"/>
            <rFont val="Tahoma"/>
            <family val="2"/>
          </rPr>
          <t xml:space="preserve">Prosentsatsen her skal inkludere kvelds- og nattillegg, lørdags- og søndagstillegg etc.
</t>
        </r>
      </text>
    </comment>
  </commentList>
</comments>
</file>

<file path=xl/sharedStrings.xml><?xml version="1.0" encoding="utf-8"?>
<sst xmlns="http://schemas.openxmlformats.org/spreadsheetml/2006/main" count="100" uniqueCount="85">
  <si>
    <t>G=</t>
  </si>
  <si>
    <t>6G=</t>
  </si>
  <si>
    <t>Måned 2</t>
  </si>
  <si>
    <t>Måned 3</t>
  </si>
  <si>
    <t>Måned 4</t>
  </si>
  <si>
    <t>Måned 5</t>
  </si>
  <si>
    <t>Måned 6</t>
  </si>
  <si>
    <t>Måned 7</t>
  </si>
  <si>
    <t>Måned 8</t>
  </si>
  <si>
    <t>Måned 9</t>
  </si>
  <si>
    <t>Måned 10</t>
  </si>
  <si>
    <t>Måned 11</t>
  </si>
  <si>
    <t>Måned 12</t>
  </si>
  <si>
    <t>Lønnselementer</t>
  </si>
  <si>
    <t>Periode</t>
  </si>
  <si>
    <t>Arbeidsgiveravgift</t>
  </si>
  <si>
    <t xml:space="preserve"> </t>
  </si>
  <si>
    <t>Feriepengeavsetning %</t>
  </si>
  <si>
    <t>ja</t>
  </si>
  <si>
    <t>Andel av kostnadene som ikke blir refundert</t>
  </si>
  <si>
    <t>Andel av lønnskostnadene som arbeidsgiver må betale for et års sykefravær</t>
  </si>
  <si>
    <t>Bruttolønn for arbeidstakeren</t>
  </si>
  <si>
    <t>Avvikling av ferie i beregningen?(ja/nei)</t>
  </si>
  <si>
    <t>Alle måneder</t>
  </si>
  <si>
    <t>Arbeidstaker &lt; 60 år = ja, ellers = nei</t>
  </si>
  <si>
    <t>Hva er kostnaden for arbeidsgiver av en persons sykefravær?</t>
  </si>
  <si>
    <t>Stillingsstørrelse %</t>
  </si>
  <si>
    <t xml:space="preserve">Tillegg pr. år utover grunnlønn </t>
  </si>
  <si>
    <t>Bruttolønnskostnad for arbeidsgiver inkl. sosiale kostnader</t>
  </si>
  <si>
    <t>Sum</t>
  </si>
  <si>
    <t>Modellen viser hva den enkelte medarbeiders fravær koster arbeidsplassen hver enkelt måned, samt akkumulert kostnad over en lengre periode</t>
  </si>
  <si>
    <t xml:space="preserve"> -Pensjonskostnader</t>
  </si>
  <si>
    <t xml:space="preserve"> -Lønn og feriepenger utover 6G</t>
  </si>
  <si>
    <t xml:space="preserve"> -Feriepengeavsetning inntil 6G etter 48 dagers sykefravær</t>
  </si>
  <si>
    <t>6G</t>
  </si>
  <si>
    <t>Total årslønn</t>
  </si>
  <si>
    <t>Arbeidsgivers kostnad inkl. sosiale kostnader (ikke refundert)(#)</t>
  </si>
  <si>
    <t>Akkumulert kostnad arbeidsgiver inkl. sosiale kostnader(#)</t>
  </si>
  <si>
    <t>Stillingsprosent</t>
  </si>
  <si>
    <t>Årslønn</t>
  </si>
  <si>
    <t>Månedslønn</t>
  </si>
  <si>
    <t>Arbeidsgivers pensjonsprosent</t>
  </si>
  <si>
    <t>Avvikling av ferie - se arket data-oversiktark</t>
  </si>
  <si>
    <t>Arbeidsgiverperioden</t>
  </si>
  <si>
    <t>Utenfor arbeidsgiverperioden</t>
  </si>
  <si>
    <t>Arbeidsgiverperioden, 16 dager</t>
  </si>
  <si>
    <t>Arbeidsgiveravgift av pensjon</t>
  </si>
  <si>
    <t>Arbeidsgiveravgift av feriep. utover 6G</t>
  </si>
  <si>
    <t>Arbeidsgiveravgift av feriep. til og med 6G</t>
  </si>
  <si>
    <t>Arbeidsgiveravgift lønn utover 6G</t>
  </si>
  <si>
    <t>Arbeidsgivers pensjonskostnad</t>
  </si>
  <si>
    <t>Lønn ut over 6G</t>
  </si>
  <si>
    <t>BRUTTO LØNNSKOSTNAD FOR ARBEIDSGIVER</t>
  </si>
  <si>
    <t>Feriepengeavsetning utover 6G</t>
  </si>
  <si>
    <t>Feriepengeavsetning til og med 6G</t>
  </si>
  <si>
    <t>Lønn til og med 6G</t>
  </si>
  <si>
    <t>Ikke refundert</t>
  </si>
  <si>
    <t>Totalt, 1 års fravær</t>
  </si>
  <si>
    <t>Beregningsdata for utfylling - fyll ut egne verdier i hvite felter:</t>
  </si>
  <si>
    <t>Resultater:</t>
  </si>
  <si>
    <t>Måned 1 minus arbeidsgiverperioden</t>
  </si>
  <si>
    <t>Måned 6(evt. ferieavregning feriepenger)</t>
  </si>
  <si>
    <t>Årslønn(uten tillegg)</t>
  </si>
  <si>
    <t>Arbeidsgivers pensjonsandel, i prosent</t>
  </si>
  <si>
    <t>G i Folketrygden</t>
  </si>
  <si>
    <t>Antall kalenderdager i arbeidsgiverperioden</t>
  </si>
  <si>
    <t>Arbeidsgivers kostnadsandel, akkumulert</t>
  </si>
  <si>
    <t xml:space="preserve">             (#) Kostnader som ikke blir refundert:</t>
  </si>
  <si>
    <t>Arbeidsgivers kostnadsandel, pr. måned</t>
  </si>
  <si>
    <t xml:space="preserve"> -Arbeidsgiveravgift av pensjon</t>
  </si>
  <si>
    <t>Sykepengegrunnlaget er begrenset oppad til 6G</t>
  </si>
  <si>
    <t>Måned 1</t>
  </si>
  <si>
    <t>Arbeidsgiveravgift av lønn til og med 6G</t>
  </si>
  <si>
    <t>Dager per mnd</t>
  </si>
  <si>
    <t>Sykepengedager i mnd 1 og 2</t>
  </si>
  <si>
    <t>Forklaring på formel i E23:</t>
  </si>
  <si>
    <t>Det er 48 feriepengedager (Folketrygdloven, §8.33). Alle dager unntatt lørdag og søndag er feriepengedager. Da dekkes feriepenger hele mnd 1 og 2, deler av mnd 3. Vi tenker slik:</t>
  </si>
  <si>
    <t>Sykepengedager per mnd</t>
  </si>
  <si>
    <t>Statens sykepengedager i mnd 3</t>
  </si>
  <si>
    <t>Arbeidsgivers  andel av sykepengedagene i mnd 3</t>
  </si>
  <si>
    <t>Forutsetninger:</t>
  </si>
  <si>
    <t xml:space="preserve"> -Arbeidsgiveravgift av feriepenger etter 48 dagers sykefravær</t>
  </si>
  <si>
    <t>Forklaring på formel i H21:</t>
  </si>
  <si>
    <t>Følger av B-rundskriv 12/2001. En arbeidstaker under 60 år trekkes 30/26 av junilønn ved feriavvikling. En arbeidstaker over 60 trekkes for én uke mer (6 virkedager).</t>
  </si>
  <si>
    <t>Feriekorreksjon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</si>
</sst>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\ %"/>
    <numFmt numFmtId="165" formatCode="#,##0.0"/>
    <numFmt numFmtId="166" formatCode="0.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366092"/>
      <name val="Arial"/>
      <family val="2"/>
    </font>
    <font>
      <sz val="10"/>
      <color rgb="FF366092"/>
      <name val="Arial"/>
      <family val="2"/>
    </font>
    <font>
      <b/>
      <sz val="14"/>
      <color rgb="FF366092"/>
      <name val="Cambria"/>
      <family val="1"/>
      <scheme val="major"/>
    </font>
    <font>
      <sz val="12"/>
      <color rgb="FF366092"/>
      <name val="Calibri"/>
      <family val="2"/>
      <scheme val="minor"/>
    </font>
    <font>
      <b/>
      <sz val="12"/>
      <color rgb="FF366092"/>
      <name val="Calibri"/>
      <family val="2"/>
      <scheme val="minor"/>
    </font>
    <font>
      <b/>
      <sz val="12"/>
      <color rgb="FF366092"/>
      <name val="Arial"/>
      <family val="2"/>
    </font>
    <font>
      <b/>
      <sz val="20"/>
      <color rgb="FF366092"/>
      <name val="Cambria"/>
      <family val="1"/>
      <scheme val="major"/>
    </font>
    <font>
      <b/>
      <sz val="14"/>
      <color rgb="FF366092"/>
      <name val="Calibri"/>
      <family val="2"/>
      <scheme val="minor"/>
    </font>
    <font>
      <b/>
      <sz val="10"/>
      <color rgb="FF36609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366092"/>
      </right>
      <top style="medium">
        <color rgb="FF366092"/>
      </top>
      <bottom/>
      <diagonal/>
    </border>
    <border>
      <left/>
      <right/>
      <top/>
      <bottom style="medium">
        <color rgb="FF366092"/>
      </bottom>
      <diagonal/>
    </border>
    <border>
      <left/>
      <right style="medium">
        <color rgb="FF366092"/>
      </right>
      <top/>
      <bottom/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/>
      <right style="medium">
        <color rgb="FF366092"/>
      </right>
      <top/>
      <bottom style="medium">
        <color rgb="FF366092"/>
      </bottom>
      <diagonal/>
    </border>
    <border>
      <left/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/>
      <top style="medium">
        <color rgb="FF366092"/>
      </top>
      <bottom/>
      <diagonal/>
    </border>
    <border>
      <left/>
      <right/>
      <top style="medium">
        <color rgb="FF366092"/>
      </top>
      <bottom/>
      <diagonal/>
    </border>
    <border>
      <left style="medium">
        <color rgb="FF366092"/>
      </left>
      <right/>
      <top/>
      <bottom/>
      <diagonal/>
    </border>
    <border>
      <left style="medium">
        <color rgb="FF366092"/>
      </left>
      <right/>
      <top/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/>
      <bottom style="medium">
        <color rgb="FF366092"/>
      </bottom>
      <diagonal/>
    </border>
    <border>
      <left style="medium">
        <color rgb="FF366092"/>
      </left>
      <right/>
      <top style="medium">
        <color rgb="FF366092"/>
      </top>
      <bottom style="medium">
        <color rgb="FF366092"/>
      </bottom>
      <diagonal/>
    </border>
    <border>
      <left/>
      <right/>
      <top style="medium">
        <color rgb="FF366092"/>
      </top>
      <bottom style="medium">
        <color rgb="FF36609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8" fillId="2" borderId="0" xfId="0" applyFont="1" applyFill="1" applyBorder="1" applyProtection="1">
      <protection hidden="1"/>
    </xf>
    <xf numFmtId="166" fontId="8" fillId="2" borderId="0" xfId="0" applyNumberFormat="1" applyFont="1" applyFill="1" applyBorder="1" applyProtection="1">
      <protection hidden="1"/>
    </xf>
    <xf numFmtId="0" fontId="8" fillId="2" borderId="3" xfId="0" applyFont="1" applyFill="1" applyBorder="1" applyProtection="1">
      <protection hidden="1"/>
    </xf>
    <xf numFmtId="0" fontId="10" fillId="2" borderId="3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11" fillId="2" borderId="4" xfId="0" applyFont="1" applyFill="1" applyBorder="1" applyProtection="1">
      <protection hidden="1"/>
    </xf>
    <xf numFmtId="3" fontId="11" fillId="2" borderId="4" xfId="0" applyNumberFormat="1" applyFont="1" applyFill="1" applyBorder="1" applyProtection="1">
      <protection hidden="1"/>
    </xf>
    <xf numFmtId="0" fontId="11" fillId="2" borderId="4" xfId="0" applyFont="1" applyFill="1" applyBorder="1" applyAlignment="1" applyProtection="1">
      <alignment horizontal="left" vertical="top"/>
      <protection hidden="1"/>
    </xf>
    <xf numFmtId="0" fontId="11" fillId="2" borderId="4" xfId="0" applyFont="1" applyFill="1" applyBorder="1" applyAlignment="1" applyProtection="1">
      <alignment horizontal="left" vertical="top" wrapText="1"/>
      <protection hidden="1"/>
    </xf>
    <xf numFmtId="9" fontId="11" fillId="2" borderId="4" xfId="1" applyFont="1" applyFill="1" applyBorder="1" applyProtection="1">
      <protection hidden="1"/>
    </xf>
    <xf numFmtId="164" fontId="11" fillId="2" borderId="4" xfId="1" applyNumberFormat="1" applyFont="1" applyFill="1" applyBorder="1" applyProtection="1">
      <protection hidden="1"/>
    </xf>
    <xf numFmtId="0" fontId="14" fillId="2" borderId="4" xfId="0" applyFont="1" applyFill="1" applyBorder="1" applyProtection="1">
      <protection hidden="1"/>
    </xf>
    <xf numFmtId="3" fontId="14" fillId="2" borderId="4" xfId="0" applyNumberFormat="1" applyFont="1" applyFill="1" applyBorder="1" applyProtection="1">
      <protection hidden="1"/>
    </xf>
    <xf numFmtId="164" fontId="14" fillId="2" borderId="4" xfId="1" applyNumberFormat="1" applyFont="1" applyFill="1" applyBorder="1" applyProtection="1">
      <protection hidden="1"/>
    </xf>
    <xf numFmtId="0" fontId="14" fillId="2" borderId="4" xfId="0" applyFont="1" applyFill="1" applyBorder="1"/>
    <xf numFmtId="164" fontId="14" fillId="2" borderId="4" xfId="0" applyNumberFormat="1" applyFont="1" applyFill="1" applyBorder="1" applyProtection="1">
      <protection hidden="1"/>
    </xf>
    <xf numFmtId="0" fontId="13" fillId="2" borderId="7" xfId="0" applyFont="1" applyFill="1" applyBorder="1" applyProtection="1">
      <protection hidden="1"/>
    </xf>
    <xf numFmtId="0" fontId="8" fillId="2" borderId="8" xfId="0" applyFont="1" applyFill="1" applyBorder="1" applyProtection="1">
      <protection hidden="1"/>
    </xf>
    <xf numFmtId="0" fontId="8" fillId="2" borderId="1" xfId="0" applyFont="1" applyFill="1" applyBorder="1" applyProtection="1">
      <protection hidden="1"/>
    </xf>
    <xf numFmtId="0" fontId="15" fillId="2" borderId="9" xfId="0" applyFont="1" applyFill="1" applyBorder="1" applyProtection="1">
      <protection hidden="1"/>
    </xf>
    <xf numFmtId="0" fontId="8" fillId="2" borderId="0" xfId="0" applyFont="1" applyFill="1" applyBorder="1"/>
    <xf numFmtId="0" fontId="8" fillId="2" borderId="3" xfId="0" applyFont="1" applyFill="1" applyBorder="1"/>
    <xf numFmtId="0" fontId="8" fillId="2" borderId="9" xfId="0" applyFont="1" applyFill="1" applyBorder="1" applyProtection="1">
      <protection hidden="1"/>
    </xf>
    <xf numFmtId="0" fontId="9" fillId="2" borderId="9" xfId="0" applyFont="1" applyFill="1" applyBorder="1" applyProtection="1">
      <protection hidden="1"/>
    </xf>
    <xf numFmtId="0" fontId="10" fillId="2" borderId="9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wrapText="1"/>
      <protection hidden="1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12" fillId="0" borderId="0" xfId="0" applyFont="1" applyFill="1"/>
    <xf numFmtId="3" fontId="8" fillId="0" borderId="0" xfId="0" applyNumberFormat="1" applyFont="1" applyFill="1"/>
    <xf numFmtId="0" fontId="11" fillId="2" borderId="4" xfId="0" applyFont="1" applyFill="1" applyBorder="1" applyAlignment="1" applyProtection="1">
      <alignment vertical="center"/>
      <protection hidden="1"/>
    </xf>
    <xf numFmtId="3" fontId="11" fillId="3" borderId="4" xfId="0" applyNumberFormat="1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vertical="center"/>
      <protection hidden="1"/>
    </xf>
    <xf numFmtId="3" fontId="11" fillId="2" borderId="4" xfId="0" applyNumberFormat="1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11" fillId="2" borderId="8" xfId="0" applyFont="1" applyFill="1" applyBorder="1" applyAlignment="1" applyProtection="1">
      <alignment vertical="center"/>
      <protection hidden="1"/>
    </xf>
    <xf numFmtId="165" fontId="11" fillId="3" borderId="4" xfId="0" applyNumberFormat="1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vertical="center"/>
      <protection hidden="1"/>
    </xf>
    <xf numFmtId="0" fontId="11" fillId="2" borderId="6" xfId="0" applyFont="1" applyFill="1" applyBorder="1" applyAlignment="1" applyProtection="1">
      <alignment vertical="center"/>
      <protection hidden="1"/>
    </xf>
    <xf numFmtId="165" fontId="11" fillId="2" borderId="4" xfId="1" applyNumberFormat="1" applyFont="1" applyFill="1" applyBorder="1" applyAlignment="1" applyProtection="1">
      <alignment vertical="center"/>
      <protection hidden="1"/>
    </xf>
    <xf numFmtId="164" fontId="11" fillId="3" borderId="4" xfId="1" applyNumberFormat="1" applyFont="1" applyFill="1" applyBorder="1" applyAlignment="1" applyProtection="1">
      <alignment vertical="center"/>
      <protection locked="0"/>
    </xf>
    <xf numFmtId="0" fontId="11" fillId="3" borderId="4" xfId="0" applyFont="1" applyFill="1" applyBorder="1" applyAlignment="1" applyProtection="1">
      <alignment horizontal="right" vertical="center"/>
      <protection locked="0"/>
    </xf>
    <xf numFmtId="3" fontId="11" fillId="3" borderId="4" xfId="0" applyNumberFormat="1" applyFont="1" applyFill="1" applyBorder="1" applyAlignment="1" applyProtection="1">
      <alignment horizontal="right" vertical="center"/>
      <protection locked="0"/>
    </xf>
    <xf numFmtId="166" fontId="11" fillId="2" borderId="9" xfId="0" applyNumberFormat="1" applyFont="1" applyFill="1" applyBorder="1" applyAlignment="1" applyProtection="1">
      <alignment vertical="center"/>
      <protection hidden="1"/>
    </xf>
    <xf numFmtId="0" fontId="9" fillId="2" borderId="10" xfId="0" applyFont="1" applyFill="1" applyBorder="1" applyAlignment="1" applyProtection="1">
      <alignment vertical="center"/>
      <protection hidden="1"/>
    </xf>
    <xf numFmtId="49" fontId="8" fillId="0" borderId="0" xfId="0" applyNumberFormat="1" applyFont="1" applyFill="1"/>
    <xf numFmtId="0" fontId="4" fillId="0" borderId="0" xfId="0" applyFont="1" applyProtection="1">
      <protection hidden="1"/>
    </xf>
    <xf numFmtId="0" fontId="4" fillId="0" borderId="0" xfId="0" applyFont="1"/>
    <xf numFmtId="3" fontId="5" fillId="0" borderId="0" xfId="0" applyNumberFormat="1" applyFont="1" applyFill="1" applyBorder="1" applyProtection="1">
      <protection hidden="1"/>
    </xf>
    <xf numFmtId="3" fontId="4" fillId="0" borderId="0" xfId="0" applyNumberFormat="1" applyFont="1" applyFill="1" applyBorder="1" applyProtection="1">
      <protection hidden="1"/>
    </xf>
    <xf numFmtId="0" fontId="4" fillId="0" borderId="0" xfId="0" applyFont="1" applyFill="1" applyProtection="1">
      <protection hidden="1"/>
    </xf>
    <xf numFmtId="3" fontId="4" fillId="0" borderId="0" xfId="0" applyNumberFormat="1" applyFont="1" applyFill="1" applyProtection="1">
      <protection hidden="1"/>
    </xf>
    <xf numFmtId="0" fontId="4" fillId="0" borderId="0" xfId="0" applyFont="1" applyFill="1"/>
    <xf numFmtId="3" fontId="4" fillId="0" borderId="0" xfId="0" applyNumberFormat="1" applyFont="1" applyFill="1" applyAlignment="1" applyProtection="1">
      <alignment wrapText="1"/>
      <protection hidden="1"/>
    </xf>
    <xf numFmtId="3" fontId="16" fillId="0" borderId="0" xfId="0" applyNumberFormat="1" applyFont="1" applyFill="1" applyProtection="1">
      <protection hidden="1"/>
    </xf>
    <xf numFmtId="0" fontId="6" fillId="0" borderId="7" xfId="0" applyFont="1" applyFill="1" applyBorder="1" applyProtection="1">
      <protection hidden="1"/>
    </xf>
    <xf numFmtId="0" fontId="5" fillId="0" borderId="8" xfId="0" applyFont="1" applyFill="1" applyBorder="1" applyAlignment="1" applyProtection="1">
      <alignment horizontal="left" vertical="top"/>
      <protection hidden="1"/>
    </xf>
    <xf numFmtId="0" fontId="5" fillId="0" borderId="8" xfId="0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0" fontId="4" fillId="0" borderId="9" xfId="0" applyFont="1" applyFill="1" applyBorder="1"/>
    <xf numFmtId="3" fontId="4" fillId="0" borderId="0" xfId="0" applyNumberFormat="1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Protection="1">
      <protection hidden="1"/>
    </xf>
    <xf numFmtId="0" fontId="4" fillId="0" borderId="3" xfId="0" applyFont="1" applyFill="1" applyBorder="1" applyProtection="1">
      <protection hidden="1"/>
    </xf>
    <xf numFmtId="0" fontId="4" fillId="0" borderId="9" xfId="0" applyFont="1" applyFill="1" applyBorder="1" applyProtection="1">
      <protection hidden="1"/>
    </xf>
    <xf numFmtId="3" fontId="17" fillId="0" borderId="0" xfId="0" applyNumberFormat="1" applyFont="1" applyFill="1" applyBorder="1" applyAlignment="1" applyProtection="1">
      <alignment wrapText="1"/>
      <protection hidden="1"/>
    </xf>
    <xf numFmtId="0" fontId="4" fillId="0" borderId="7" xfId="0" applyFont="1" applyFill="1" applyBorder="1" applyProtection="1">
      <protection hidden="1"/>
    </xf>
    <xf numFmtId="3" fontId="4" fillId="0" borderId="8" xfId="0" applyNumberFormat="1" applyFont="1" applyFill="1" applyBorder="1" applyProtection="1">
      <protection hidden="1"/>
    </xf>
    <xf numFmtId="3" fontId="4" fillId="0" borderId="1" xfId="0" applyNumberFormat="1" applyFont="1" applyFill="1" applyBorder="1" applyProtection="1">
      <protection hidden="1"/>
    </xf>
    <xf numFmtId="0" fontId="4" fillId="0" borderId="12" xfId="0" applyFont="1" applyFill="1" applyBorder="1" applyProtection="1">
      <protection hidden="1"/>
    </xf>
    <xf numFmtId="0" fontId="4" fillId="0" borderId="4" xfId="0" applyFont="1" applyFill="1" applyBorder="1" applyProtection="1">
      <protection hidden="1"/>
    </xf>
    <xf numFmtId="3" fontId="6" fillId="0" borderId="0" xfId="0" applyNumberFormat="1" applyFont="1" applyFill="1" applyProtection="1">
      <protection hidden="1"/>
    </xf>
    <xf numFmtId="4" fontId="4" fillId="0" borderId="4" xfId="0" applyNumberFormat="1" applyFont="1" applyFill="1" applyBorder="1" applyProtection="1">
      <protection hidden="1"/>
    </xf>
    <xf numFmtId="3" fontId="4" fillId="0" borderId="0" xfId="0" applyNumberFormat="1" applyFont="1" applyFill="1"/>
    <xf numFmtId="0" fontId="4" fillId="0" borderId="0" xfId="0" applyFont="1" applyFill="1" applyBorder="1"/>
    <xf numFmtId="3" fontId="5" fillId="0" borderId="0" xfId="0" applyNumberFormat="1" applyFont="1" applyFill="1" applyAlignment="1" applyProtection="1">
      <alignment wrapText="1"/>
      <protection hidden="1"/>
    </xf>
    <xf numFmtId="3" fontId="4" fillId="0" borderId="0" xfId="0" applyNumberFormat="1" applyFont="1" applyFill="1" applyBorder="1"/>
    <xf numFmtId="3" fontId="4" fillId="0" borderId="3" xfId="0" applyNumberFormat="1" applyFont="1" applyFill="1" applyBorder="1"/>
    <xf numFmtId="3" fontId="4" fillId="0" borderId="13" xfId="0" applyNumberFormat="1" applyFont="1" applyFill="1" applyBorder="1"/>
    <xf numFmtId="3" fontId="4" fillId="0" borderId="6" xfId="0" applyNumberFormat="1" applyFont="1" applyFill="1" applyBorder="1"/>
    <xf numFmtId="3" fontId="4" fillId="0" borderId="11" xfId="0" applyNumberFormat="1" applyFont="1" applyFill="1" applyBorder="1"/>
    <xf numFmtId="3" fontId="5" fillId="0" borderId="0" xfId="0" applyNumberFormat="1" applyFont="1" applyFill="1" applyProtection="1"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4" fillId="0" borderId="0" xfId="0" applyFont="1" applyFill="1" applyAlignment="1" applyProtection="1">
      <alignment horizontal="left" vertical="top" wrapText="1"/>
      <protection hidden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366092"/>
      <color rgb="FF3660C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H39"/>
  <sheetViews>
    <sheetView showGridLines="0" showRowColHeaders="0" tabSelected="1" zoomScale="90" zoomScaleNormal="90" workbookViewId="0"/>
  </sheetViews>
  <sheetFormatPr baseColWidth="10" defaultRowHeight="12.75" x14ac:dyDescent="0.2"/>
  <cols>
    <col min="1" max="1" width="11.42578125" style="29"/>
    <col min="2" max="2" width="42.28515625" style="29" customWidth="1"/>
    <col min="3" max="3" width="16.140625" style="29" customWidth="1"/>
    <col min="4" max="4" width="20.140625" style="29" customWidth="1"/>
    <col min="5" max="5" width="43.140625" style="29" customWidth="1"/>
    <col min="6" max="6" width="20.85546875" style="29" customWidth="1"/>
    <col min="7" max="8" width="15.42578125" style="29" customWidth="1"/>
    <col min="9" max="16384" width="11.42578125" style="29"/>
  </cols>
  <sheetData>
    <row r="1" spans="1:8" s="28" customFormat="1" ht="18.75" thickBot="1" x14ac:dyDescent="0.3">
      <c r="B1" s="31"/>
      <c r="C1" s="31"/>
      <c r="D1" s="31"/>
      <c r="E1" s="31"/>
      <c r="F1" s="31"/>
      <c r="G1" s="31"/>
      <c r="H1" s="31"/>
    </row>
    <row r="2" spans="1:8" ht="25.5" x14ac:dyDescent="0.35">
      <c r="B2" s="18" t="s">
        <v>25</v>
      </c>
      <c r="C2" s="19"/>
      <c r="D2" s="19"/>
      <c r="E2" s="19"/>
      <c r="F2" s="19"/>
      <c r="G2" s="19"/>
      <c r="H2" s="20"/>
    </row>
    <row r="3" spans="1:8" x14ac:dyDescent="0.2">
      <c r="A3" s="30"/>
      <c r="B3" s="21" t="s">
        <v>30</v>
      </c>
      <c r="C3" s="1"/>
      <c r="D3" s="1"/>
      <c r="E3" s="1"/>
      <c r="F3" s="1"/>
      <c r="G3" s="1"/>
      <c r="H3" s="3"/>
    </row>
    <row r="4" spans="1:8" ht="18.75" thickBot="1" x14ac:dyDescent="0.25">
      <c r="A4" s="30"/>
      <c r="B4" s="48" t="s">
        <v>58</v>
      </c>
      <c r="C4" s="5"/>
      <c r="D4" s="5"/>
      <c r="E4" s="5"/>
      <c r="F4" s="22"/>
      <c r="G4" s="22"/>
      <c r="H4" s="23"/>
    </row>
    <row r="5" spans="1:8" ht="16.899999999999999" customHeight="1" thickBot="1" x14ac:dyDescent="0.25">
      <c r="A5" s="30"/>
      <c r="B5" s="34" t="s">
        <v>62</v>
      </c>
      <c r="C5" s="35">
        <v>450000</v>
      </c>
      <c r="D5" s="36" t="s">
        <v>35</v>
      </c>
      <c r="E5" s="37">
        <f>C5+C13</f>
        <v>465000</v>
      </c>
      <c r="F5" s="22"/>
      <c r="G5" s="22"/>
      <c r="H5" s="23"/>
    </row>
    <row r="6" spans="1:8" ht="16.899999999999999" customHeight="1" thickBot="1" x14ac:dyDescent="0.25">
      <c r="A6" s="30"/>
      <c r="B6" s="34" t="s">
        <v>26</v>
      </c>
      <c r="C6" s="35">
        <v>100</v>
      </c>
      <c r="D6" s="38"/>
      <c r="E6" s="39"/>
      <c r="F6" s="22"/>
      <c r="G6" s="22"/>
      <c r="H6" s="23"/>
    </row>
    <row r="7" spans="1:8" ht="16.899999999999999" customHeight="1" thickBot="1" x14ac:dyDescent="0.25">
      <c r="A7" s="30"/>
      <c r="B7" s="34" t="s">
        <v>63</v>
      </c>
      <c r="C7" s="40">
        <v>18</v>
      </c>
      <c r="D7" s="41"/>
      <c r="E7" s="41"/>
      <c r="F7" s="22"/>
      <c r="G7" s="22"/>
      <c r="H7" s="23"/>
    </row>
    <row r="8" spans="1:8" ht="16.899999999999999" customHeight="1" thickBot="1" x14ac:dyDescent="0.25">
      <c r="A8" s="30"/>
      <c r="B8" s="34" t="s">
        <v>64</v>
      </c>
      <c r="C8" s="35">
        <v>85245</v>
      </c>
      <c r="D8" s="42" t="s">
        <v>34</v>
      </c>
      <c r="E8" s="37">
        <f>C8*6</f>
        <v>511470</v>
      </c>
      <c r="F8" s="22"/>
      <c r="G8" s="22"/>
      <c r="H8" s="23"/>
    </row>
    <row r="9" spans="1:8" ht="16.899999999999999" customHeight="1" thickBot="1" x14ac:dyDescent="0.25">
      <c r="A9" s="30"/>
      <c r="B9" s="34" t="s">
        <v>65</v>
      </c>
      <c r="C9" s="43">
        <v>16</v>
      </c>
      <c r="D9" s="38"/>
      <c r="E9" s="39"/>
      <c r="F9" s="22"/>
      <c r="G9" s="22"/>
      <c r="H9" s="23"/>
    </row>
    <row r="10" spans="1:8" ht="16.899999999999999" customHeight="1" thickBot="1" x14ac:dyDescent="0.25">
      <c r="A10" s="30"/>
      <c r="B10" s="34" t="s">
        <v>15</v>
      </c>
      <c r="C10" s="44">
        <v>0.14099999999999999</v>
      </c>
      <c r="D10" s="38"/>
      <c r="E10" s="38"/>
      <c r="F10" s="22"/>
      <c r="G10" s="22"/>
      <c r="H10" s="23"/>
    </row>
    <row r="11" spans="1:8" ht="16.899999999999999" customHeight="1" thickBot="1" x14ac:dyDescent="0.25">
      <c r="A11" s="30"/>
      <c r="B11" s="34" t="s">
        <v>22</v>
      </c>
      <c r="C11" s="45" t="s">
        <v>18</v>
      </c>
      <c r="D11" s="38"/>
      <c r="E11" s="38"/>
      <c r="F11" s="22"/>
      <c r="G11" s="22"/>
      <c r="H11" s="23"/>
    </row>
    <row r="12" spans="1:8" ht="16.899999999999999" customHeight="1" thickBot="1" x14ac:dyDescent="0.25">
      <c r="A12" s="30"/>
      <c r="B12" s="34" t="s">
        <v>24</v>
      </c>
      <c r="C12" s="45" t="s">
        <v>18</v>
      </c>
      <c r="D12" s="38"/>
      <c r="E12" s="38"/>
      <c r="F12" s="22"/>
      <c r="G12" s="22"/>
      <c r="H12" s="23"/>
    </row>
    <row r="13" spans="1:8" ht="16.899999999999999" customHeight="1" thickBot="1" x14ac:dyDescent="0.25">
      <c r="A13" s="30"/>
      <c r="B13" s="34" t="s">
        <v>27</v>
      </c>
      <c r="C13" s="46">
        <v>15000</v>
      </c>
      <c r="D13" s="47"/>
      <c r="E13" s="38"/>
      <c r="F13" s="22"/>
      <c r="G13" s="22"/>
      <c r="H13" s="23"/>
    </row>
    <row r="14" spans="1:8" x14ac:dyDescent="0.2">
      <c r="A14" s="30"/>
      <c r="B14" s="24"/>
      <c r="C14" s="1"/>
      <c r="D14" s="1"/>
      <c r="E14" s="1"/>
      <c r="F14" s="1"/>
      <c r="G14" s="2"/>
      <c r="H14" s="3"/>
    </row>
    <row r="15" spans="1:8" ht="18.75" thickBot="1" x14ac:dyDescent="0.3">
      <c r="A15" s="30"/>
      <c r="B15" s="25" t="s">
        <v>59</v>
      </c>
      <c r="C15" s="1"/>
      <c r="D15" s="1"/>
      <c r="E15" s="1"/>
      <c r="F15" s="1"/>
      <c r="G15" s="2"/>
      <c r="H15" s="3"/>
    </row>
    <row r="16" spans="1:8" ht="63.75" thickBot="1" x14ac:dyDescent="0.25">
      <c r="A16" s="30"/>
      <c r="B16" s="9" t="s">
        <v>14</v>
      </c>
      <c r="C16" s="10" t="s">
        <v>21</v>
      </c>
      <c r="D16" s="10" t="s">
        <v>28</v>
      </c>
      <c r="E16" s="10" t="s">
        <v>36</v>
      </c>
      <c r="F16" s="10" t="s">
        <v>37</v>
      </c>
      <c r="G16" s="10" t="s">
        <v>68</v>
      </c>
      <c r="H16" s="10" t="s">
        <v>66</v>
      </c>
    </row>
    <row r="17" spans="1:8" ht="6" customHeight="1" thickBot="1" x14ac:dyDescent="0.3">
      <c r="A17" s="30"/>
      <c r="B17" s="26"/>
      <c r="C17" s="6"/>
      <c r="D17" s="6"/>
      <c r="E17" s="27"/>
      <c r="F17" s="6"/>
      <c r="G17" s="6"/>
      <c r="H17" s="4"/>
    </row>
    <row r="18" spans="1:8" ht="16.899999999999999" customHeight="1" thickBot="1" x14ac:dyDescent="0.3">
      <c r="A18" s="30"/>
      <c r="B18" s="7" t="s">
        <v>43</v>
      </c>
      <c r="C18" s="8">
        <f>spesifiseringer!B20+spesifiseringer!B21</f>
        <v>20666.666666666668</v>
      </c>
      <c r="D18" s="8">
        <f>spesifiseringer!B22</f>
        <v>30654.866666666669</v>
      </c>
      <c r="E18" s="8">
        <f>spesifiseringer!B23</f>
        <v>30654.866666666669</v>
      </c>
      <c r="F18" s="8">
        <f>E18</f>
        <v>30654.866666666669</v>
      </c>
      <c r="G18" s="11">
        <f>E18/D18</f>
        <v>1</v>
      </c>
      <c r="H18" s="12">
        <f>F18/D$18</f>
        <v>1</v>
      </c>
    </row>
    <row r="19" spans="1:8" ht="16.899999999999999" customHeight="1" thickBot="1" x14ac:dyDescent="0.3">
      <c r="A19" s="30"/>
      <c r="B19" s="7" t="s">
        <v>60</v>
      </c>
      <c r="C19" s="8">
        <f>spesifiseringer!C20+spesifiseringer!C21</f>
        <v>18083.333333333332</v>
      </c>
      <c r="D19" s="8">
        <f>spesifiseringer!C22</f>
        <v>26823.008333333331</v>
      </c>
      <c r="E19" s="8">
        <f>spesifiseringer!C23</f>
        <v>3713.9549999999999</v>
      </c>
      <c r="F19" s="8">
        <f>F18+E19</f>
        <v>34368.82166666667</v>
      </c>
      <c r="G19" s="11">
        <f t="shared" ref="G19:G30" si="0">E19/D19</f>
        <v>0.13846153846153847</v>
      </c>
      <c r="H19" s="12">
        <f>F19/(D$18+D$19)</f>
        <v>0.59794871794871807</v>
      </c>
    </row>
    <row r="20" spans="1:8" ht="16.899999999999999" customHeight="1" thickBot="1" x14ac:dyDescent="0.3">
      <c r="A20" s="30"/>
      <c r="B20" s="7" t="s">
        <v>2</v>
      </c>
      <c r="C20" s="8">
        <f>spesifiseringer!D20+spesifiseringer!D21</f>
        <v>38750</v>
      </c>
      <c r="D20" s="8">
        <f>spesifiseringer!D22</f>
        <v>57477.875</v>
      </c>
      <c r="E20" s="8">
        <f>spesifiseringer!D23</f>
        <v>7958.4750000000004</v>
      </c>
      <c r="F20" s="8">
        <f t="shared" ref="F20:F30" si="1">F19+E20</f>
        <v>42327.296666666669</v>
      </c>
      <c r="G20" s="11">
        <f t="shared" si="0"/>
        <v>0.13846153846153847</v>
      </c>
      <c r="H20" s="12">
        <f>F20/(D$18+D$19+D$20)</f>
        <v>0.36820512820512824</v>
      </c>
    </row>
    <row r="21" spans="1:8" ht="16.899999999999999" customHeight="1" thickBot="1" x14ac:dyDescent="0.3">
      <c r="A21" s="30"/>
      <c r="B21" s="7" t="s">
        <v>3</v>
      </c>
      <c r="C21" s="8">
        <f>spesifiseringer!E20+spesifiseringer!E21</f>
        <v>38750</v>
      </c>
      <c r="D21" s="8">
        <f>spesifiseringer!E22</f>
        <v>57477.875</v>
      </c>
      <c r="E21" s="8">
        <f>spesifiseringer!E23</f>
        <v>12162.34660144151</v>
      </c>
      <c r="F21" s="8">
        <f t="shared" si="1"/>
        <v>54489.643268108179</v>
      </c>
      <c r="G21" s="11">
        <f t="shared" si="0"/>
        <v>0.21160049151854535</v>
      </c>
      <c r="H21" s="12">
        <f>F21/(D$18+D$19+D$20+D$21)</f>
        <v>0.31600358264293393</v>
      </c>
    </row>
    <row r="22" spans="1:8" ht="16.899999999999999" customHeight="1" thickBot="1" x14ac:dyDescent="0.3">
      <c r="A22" s="30"/>
      <c r="B22" s="7" t="s">
        <v>4</v>
      </c>
      <c r="C22" s="8">
        <f>spesifiseringer!F20+spesifiseringer!F21</f>
        <v>38750</v>
      </c>
      <c r="D22" s="8">
        <f>spesifiseringer!F22</f>
        <v>57477.875</v>
      </c>
      <c r="E22" s="8">
        <f>spesifiseringer!F23</f>
        <v>13264.125</v>
      </c>
      <c r="F22" s="8">
        <f t="shared" si="1"/>
        <v>67753.768268108179</v>
      </c>
      <c r="G22" s="11">
        <f t="shared" si="0"/>
        <v>0.23076923076923078</v>
      </c>
      <c r="H22" s="12">
        <f>F22/(D$18+D$19+D$20+D$21+D$22)</f>
        <v>0.29469499467450816</v>
      </c>
    </row>
    <row r="23" spans="1:8" ht="16.899999999999999" customHeight="1" thickBot="1" x14ac:dyDescent="0.3">
      <c r="A23" s="30"/>
      <c r="B23" s="7" t="s">
        <v>5</v>
      </c>
      <c r="C23" s="8">
        <f>spesifiseringer!G20+spesifiseringer!G21</f>
        <v>38750</v>
      </c>
      <c r="D23" s="8">
        <f>spesifiseringer!G22</f>
        <v>57477.875</v>
      </c>
      <c r="E23" s="8">
        <f>spesifiseringer!G23</f>
        <v>13264.125</v>
      </c>
      <c r="F23" s="8">
        <f t="shared" si="1"/>
        <v>81017.893268108179</v>
      </c>
      <c r="G23" s="11">
        <f t="shared" si="0"/>
        <v>0.23076923076923078</v>
      </c>
      <c r="H23" s="12">
        <f>F23/(D$18+D$19+D$20+D$21+D$22+D$23)</f>
        <v>0.2819098418934527</v>
      </c>
    </row>
    <row r="24" spans="1:8" ht="16.899999999999999" customHeight="1" thickBot="1" x14ac:dyDescent="0.3">
      <c r="A24" s="30"/>
      <c r="B24" s="7" t="s">
        <v>61</v>
      </c>
      <c r="C24" s="8">
        <f>spesifiseringer!H20+spesifiseringer!H21</f>
        <v>-5961.5384615384619</v>
      </c>
      <c r="D24" s="8">
        <f>spesifiseringer!H22</f>
        <v>-8842.75</v>
      </c>
      <c r="E24" s="8">
        <f>spesifiseringer!H23</f>
        <v>-2040.6346153846152</v>
      </c>
      <c r="F24" s="8">
        <f t="shared" si="1"/>
        <v>78977.258652723569</v>
      </c>
      <c r="G24" s="11">
        <f t="shared" si="0"/>
        <v>0.23076923076923075</v>
      </c>
      <c r="H24" s="12">
        <f>F24/(D$18+D$19+D$20+D$21+D$22+D$23+D$24)</f>
        <v>0.28353335335771368</v>
      </c>
    </row>
    <row r="25" spans="1:8" ht="16.899999999999999" customHeight="1" thickBot="1" x14ac:dyDescent="0.3">
      <c r="A25" s="30"/>
      <c r="B25" s="7" t="s">
        <v>7</v>
      </c>
      <c r="C25" s="8">
        <f>spesifiseringer!I20+spesifiseringer!I21</f>
        <v>38750</v>
      </c>
      <c r="D25" s="8">
        <f>spesifiseringer!I22</f>
        <v>57477.875</v>
      </c>
      <c r="E25" s="8">
        <f>spesifiseringer!I23</f>
        <v>13264.125</v>
      </c>
      <c r="F25" s="8">
        <f t="shared" si="1"/>
        <v>92241.383652723569</v>
      </c>
      <c r="G25" s="11">
        <f t="shared" si="0"/>
        <v>0.23076923076923078</v>
      </c>
      <c r="H25" s="12">
        <f>F25/(D$18+D$19+D$20+D$21+D$22+D$23+D$24+D$25)</f>
        <v>0.2745079113359995</v>
      </c>
    </row>
    <row r="26" spans="1:8" ht="16.899999999999999" customHeight="1" thickBot="1" x14ac:dyDescent="0.3">
      <c r="A26" s="30"/>
      <c r="B26" s="7" t="s">
        <v>8</v>
      </c>
      <c r="C26" s="8">
        <f>spesifiseringer!J20+spesifiseringer!J21</f>
        <v>38750</v>
      </c>
      <c r="D26" s="8">
        <f>spesifiseringer!J22</f>
        <v>57477.875</v>
      </c>
      <c r="E26" s="8">
        <f>spesifiseringer!J23</f>
        <v>13264.125</v>
      </c>
      <c r="F26" s="8">
        <f t="shared" si="1"/>
        <v>105505.50865272357</v>
      </c>
      <c r="G26" s="11">
        <f t="shared" si="0"/>
        <v>0.23076923076923078</v>
      </c>
      <c r="H26" s="12">
        <f>F26/(D$18+D$19+D$20+D$21+D$22+D$23+D$24+D$25+D$26)</f>
        <v>0.26811911529815691</v>
      </c>
    </row>
    <row r="27" spans="1:8" ht="16.899999999999999" customHeight="1" thickBot="1" x14ac:dyDescent="0.3">
      <c r="A27" s="30"/>
      <c r="B27" s="7" t="s">
        <v>9</v>
      </c>
      <c r="C27" s="8">
        <f>spesifiseringer!K20+spesifiseringer!K21</f>
        <v>38750</v>
      </c>
      <c r="D27" s="8">
        <f>spesifiseringer!K22</f>
        <v>57477.875</v>
      </c>
      <c r="E27" s="8">
        <f>spesifiseringer!K23</f>
        <v>13264.125</v>
      </c>
      <c r="F27" s="8">
        <f t="shared" si="1"/>
        <v>118769.63365272357</v>
      </c>
      <c r="G27" s="11">
        <f t="shared" si="0"/>
        <v>0.23076923076923078</v>
      </c>
      <c r="H27" s="12">
        <f>F27/(D$18+D$19+D$20+D$21+D$22+D$23+D$24+D$25+D$26+D$27)</f>
        <v>0.26335883589741138</v>
      </c>
    </row>
    <row r="28" spans="1:8" ht="16.899999999999999" customHeight="1" thickBot="1" x14ac:dyDescent="0.3">
      <c r="A28" s="30"/>
      <c r="B28" s="7" t="s">
        <v>10</v>
      </c>
      <c r="C28" s="8">
        <f>spesifiseringer!L20+spesifiseringer!L21</f>
        <v>38750</v>
      </c>
      <c r="D28" s="8">
        <f>spesifiseringer!L22</f>
        <v>57477.875</v>
      </c>
      <c r="E28" s="8">
        <f>spesifiseringer!L23</f>
        <v>13264.125</v>
      </c>
      <c r="F28" s="8">
        <f t="shared" si="1"/>
        <v>132033.75865272357</v>
      </c>
      <c r="G28" s="11">
        <f t="shared" si="0"/>
        <v>0.23076923076923078</v>
      </c>
      <c r="H28" s="12">
        <f>F28/(D$18+D$19+D$20+D$21+D$22+D$23+D$24+D$25+D$26+D$27+D$28)</f>
        <v>0.25967479357857359</v>
      </c>
    </row>
    <row r="29" spans="1:8" ht="16.899999999999999" customHeight="1" thickBot="1" x14ac:dyDescent="0.3">
      <c r="A29" s="30"/>
      <c r="B29" s="7" t="s">
        <v>11</v>
      </c>
      <c r="C29" s="8">
        <f>spesifiseringer!M20+spesifiseringer!M21</f>
        <v>38750</v>
      </c>
      <c r="D29" s="8">
        <f>spesifiseringer!M22</f>
        <v>57477.875</v>
      </c>
      <c r="E29" s="8">
        <f>spesifiseringer!M23</f>
        <v>13264.125</v>
      </c>
      <c r="F29" s="8">
        <f t="shared" si="1"/>
        <v>145297.88365272357</v>
      </c>
      <c r="G29" s="11">
        <f t="shared" si="0"/>
        <v>0.23076923076923078</v>
      </c>
      <c r="H29" s="12">
        <f>F29/(D$18+D$19+D$20+D$21+D$22+D$23+D$24+D$25+D$26+D$27+D$28+D$29)</f>
        <v>0.25673907235574972</v>
      </c>
    </row>
    <row r="30" spans="1:8" ht="16.899999999999999" customHeight="1" thickBot="1" x14ac:dyDescent="0.3">
      <c r="A30" s="30"/>
      <c r="B30" s="7" t="s">
        <v>12</v>
      </c>
      <c r="C30" s="8">
        <f>spesifiseringer!N20+spesifiseringer!N21</f>
        <v>38750</v>
      </c>
      <c r="D30" s="8">
        <f>spesifiseringer!N22</f>
        <v>57477.875</v>
      </c>
      <c r="E30" s="8">
        <f>spesifiseringer!N23</f>
        <v>13264.125</v>
      </c>
      <c r="F30" s="8">
        <f t="shared" si="1"/>
        <v>158562.00865272357</v>
      </c>
      <c r="G30" s="11">
        <f t="shared" si="0"/>
        <v>0.23076923076923078</v>
      </c>
      <c r="H30" s="12">
        <f>F30/(D$18+D$19+D$20+D$21+D$22+D$23+D$24+D$25+D$26+D$27+D$28+D$29+D$30)</f>
        <v>0.25434468979812741</v>
      </c>
    </row>
    <row r="31" spans="1:8" ht="17.25" customHeight="1" thickBot="1" x14ac:dyDescent="0.35">
      <c r="A31" s="30"/>
      <c r="B31" s="13" t="s">
        <v>29</v>
      </c>
      <c r="C31" s="14">
        <f>SUM(C18:C30)</f>
        <v>420288.4615384615</v>
      </c>
      <c r="D31" s="14">
        <f>SUM(D18:D30)</f>
        <v>623413.875</v>
      </c>
      <c r="E31" s="14">
        <f>SUM(E18:E30)</f>
        <v>158562.00865272357</v>
      </c>
      <c r="F31" s="14">
        <f>F30</f>
        <v>158562.00865272357</v>
      </c>
      <c r="G31" s="13" t="s">
        <v>16</v>
      </c>
      <c r="H31" s="15">
        <f>E31/D31</f>
        <v>0.25434468979812741</v>
      </c>
    </row>
    <row r="32" spans="1:8" ht="17.25" customHeight="1" thickBot="1" x14ac:dyDescent="0.35">
      <c r="A32" s="30"/>
      <c r="B32" s="13" t="s">
        <v>20</v>
      </c>
      <c r="C32" s="13"/>
      <c r="D32" s="13"/>
      <c r="E32" s="13"/>
      <c r="F32" s="16"/>
      <c r="G32" s="13"/>
      <c r="H32" s="17">
        <f>spesifiseringer!B25</f>
        <v>0.25434468979812741</v>
      </c>
    </row>
    <row r="33" spans="1:8" x14ac:dyDescent="0.2">
      <c r="A33" s="30"/>
      <c r="B33" s="30"/>
      <c r="C33" s="30"/>
      <c r="D33" s="30"/>
      <c r="E33" s="30"/>
      <c r="F33" s="30"/>
      <c r="G33" s="30"/>
      <c r="H33" s="30"/>
    </row>
    <row r="34" spans="1:8" x14ac:dyDescent="0.2">
      <c r="A34" s="30"/>
      <c r="B34" s="30"/>
      <c r="C34" s="30"/>
      <c r="D34" s="30"/>
      <c r="E34" s="30"/>
      <c r="F34" s="30"/>
      <c r="G34" s="30"/>
      <c r="H34" s="30"/>
    </row>
    <row r="35" spans="1:8" ht="15.75" x14ac:dyDescent="0.25">
      <c r="B35" s="32" t="s">
        <v>67</v>
      </c>
      <c r="C35" s="30"/>
      <c r="D35" s="30" t="s">
        <v>31</v>
      </c>
      <c r="E35" s="30"/>
      <c r="F35" s="30"/>
      <c r="G35" s="30"/>
      <c r="H35" s="30"/>
    </row>
    <row r="36" spans="1:8" x14ac:dyDescent="0.2">
      <c r="A36" s="30" t="s">
        <v>16</v>
      </c>
      <c r="B36" s="30"/>
      <c r="C36" s="30"/>
      <c r="D36" s="30" t="s">
        <v>32</v>
      </c>
      <c r="E36" s="30"/>
      <c r="F36" s="30"/>
      <c r="G36" s="30"/>
      <c r="H36" s="30"/>
    </row>
    <row r="37" spans="1:8" x14ac:dyDescent="0.2">
      <c r="A37" s="30"/>
      <c r="B37" s="30"/>
      <c r="C37" s="30"/>
      <c r="D37" s="33" t="s">
        <v>33</v>
      </c>
      <c r="E37" s="30"/>
      <c r="F37" s="30"/>
      <c r="G37" s="30"/>
      <c r="H37" s="30"/>
    </row>
    <row r="38" spans="1:8" x14ac:dyDescent="0.2">
      <c r="A38" s="29" t="s">
        <v>16</v>
      </c>
      <c r="D38" s="49" t="s">
        <v>81</v>
      </c>
      <c r="F38" s="29" t="s">
        <v>16</v>
      </c>
    </row>
    <row r="39" spans="1:8" x14ac:dyDescent="0.2">
      <c r="D39" s="30" t="s">
        <v>69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U44"/>
  <sheetViews>
    <sheetView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2.75" x14ac:dyDescent="0.2"/>
  <cols>
    <col min="1" max="1" width="38.28515625" style="51" customWidth="1"/>
    <col min="2" max="2" width="18.42578125" style="51" customWidth="1"/>
    <col min="3" max="3" width="19" style="51" customWidth="1"/>
    <col min="4" max="4" width="10.42578125" style="51" customWidth="1"/>
    <col min="5" max="5" width="8.7109375" style="51" customWidth="1"/>
    <col min="6" max="7" width="8.28515625" style="51" customWidth="1"/>
    <col min="8" max="8" width="12.28515625" style="51" customWidth="1"/>
    <col min="9" max="9" width="9" style="51" customWidth="1"/>
    <col min="10" max="10" width="10.85546875" style="51" customWidth="1"/>
    <col min="11" max="11" width="7.85546875" style="51" bestFit="1" customWidth="1"/>
    <col min="12" max="14" width="8.85546875" style="51" bestFit="1" customWidth="1"/>
    <col min="15" max="16384" width="11.42578125" style="51"/>
  </cols>
  <sheetData>
    <row r="1" spans="1:20" x14ac:dyDescent="0.2">
      <c r="A1" s="54"/>
      <c r="B1" s="55"/>
      <c r="C1" s="55" t="s">
        <v>80</v>
      </c>
      <c r="D1" s="55"/>
      <c r="E1" s="55"/>
      <c r="F1" s="54" t="s">
        <v>16</v>
      </c>
      <c r="G1" s="54"/>
      <c r="H1" s="54"/>
      <c r="I1" s="55"/>
      <c r="J1" s="54" t="s">
        <v>70</v>
      </c>
      <c r="K1" s="54"/>
      <c r="L1" s="54"/>
      <c r="M1" s="54"/>
      <c r="N1" s="54"/>
      <c r="O1" s="54"/>
      <c r="P1" s="54"/>
      <c r="Q1" s="54"/>
      <c r="R1" s="56"/>
      <c r="S1" s="56"/>
      <c r="T1" s="56"/>
    </row>
    <row r="2" spans="1:20" x14ac:dyDescent="0.2">
      <c r="A2" s="54"/>
      <c r="B2" s="55"/>
      <c r="C2" s="57" t="s">
        <v>38</v>
      </c>
      <c r="D2" s="55">
        <f>'data - oversiktark'!C6</f>
        <v>100</v>
      </c>
      <c r="E2" s="55"/>
      <c r="F2" s="55"/>
      <c r="G2" s="55"/>
      <c r="H2" s="55"/>
      <c r="I2" s="55"/>
      <c r="J2" s="54" t="s">
        <v>0</v>
      </c>
      <c r="K2" s="54">
        <f>'data - oversiktark'!C8</f>
        <v>85245</v>
      </c>
      <c r="L2" s="54"/>
      <c r="M2" s="54"/>
      <c r="N2" s="54"/>
      <c r="O2" s="54"/>
      <c r="P2" s="54"/>
      <c r="Q2" s="54"/>
      <c r="R2" s="56"/>
      <c r="S2" s="56"/>
      <c r="T2" s="56"/>
    </row>
    <row r="3" spans="1:20" x14ac:dyDescent="0.2">
      <c r="A3" s="54"/>
      <c r="B3" s="55"/>
      <c r="C3" s="57" t="s">
        <v>39</v>
      </c>
      <c r="D3" s="55">
        <f>'data - oversiktark'!C5+('data - oversiktark'!C13)</f>
        <v>465000</v>
      </c>
      <c r="E3" s="55"/>
      <c r="F3" s="77"/>
      <c r="G3" s="77"/>
      <c r="H3" s="77"/>
      <c r="I3" s="55"/>
      <c r="J3" s="54" t="s">
        <v>1</v>
      </c>
      <c r="K3" s="54">
        <f>K2*6</f>
        <v>511470</v>
      </c>
      <c r="L3" s="58"/>
      <c r="M3" s="55"/>
      <c r="N3" s="54"/>
      <c r="O3" s="54"/>
      <c r="P3" s="54"/>
      <c r="Q3" s="54"/>
      <c r="R3" s="56"/>
      <c r="S3" s="56"/>
      <c r="T3" s="56"/>
    </row>
    <row r="4" spans="1:20" x14ac:dyDescent="0.2">
      <c r="A4" s="54"/>
      <c r="B4" s="55"/>
      <c r="C4" s="57" t="s">
        <v>40</v>
      </c>
      <c r="D4" s="55">
        <f>D3/12*D2%</f>
        <v>38750</v>
      </c>
      <c r="E4" s="55"/>
      <c r="F4" s="54"/>
      <c r="G4" s="54"/>
      <c r="H4" s="54"/>
      <c r="I4" s="55"/>
      <c r="J4" s="54"/>
      <c r="K4" s="54"/>
      <c r="L4" s="58"/>
      <c r="M4" s="55"/>
      <c r="N4" s="54"/>
      <c r="O4" s="54"/>
      <c r="P4" s="54"/>
      <c r="Q4" s="54"/>
      <c r="R4" s="56"/>
      <c r="S4" s="56"/>
      <c r="T4" s="56"/>
    </row>
    <row r="5" spans="1:20" ht="25.5" x14ac:dyDescent="0.2">
      <c r="A5" s="54"/>
      <c r="B5" s="55"/>
      <c r="C5" s="57" t="s">
        <v>41</v>
      </c>
      <c r="D5" s="55">
        <f>'data - oversiktark'!C7</f>
        <v>18</v>
      </c>
      <c r="E5" s="55"/>
      <c r="F5" s="52"/>
      <c r="G5" s="53"/>
      <c r="H5" s="53"/>
      <c r="I5" s="55"/>
      <c r="J5" s="53"/>
      <c r="K5" s="53"/>
      <c r="L5" s="54"/>
      <c r="M5" s="54"/>
      <c r="N5" s="54"/>
      <c r="O5" s="54"/>
      <c r="P5" s="54"/>
      <c r="Q5" s="54"/>
      <c r="R5" s="56"/>
      <c r="S5" s="56"/>
      <c r="T5" s="56"/>
    </row>
    <row r="6" spans="1:20" ht="25.5" x14ac:dyDescent="0.2">
      <c r="A6" s="54"/>
      <c r="B6" s="55"/>
      <c r="C6" s="57" t="s">
        <v>42</v>
      </c>
      <c r="D6" s="55" t="str">
        <f>'data - oversiktark'!C11</f>
        <v>ja</v>
      </c>
      <c r="E6" s="55"/>
      <c r="F6" s="52"/>
      <c r="G6" s="53"/>
      <c r="H6" s="53"/>
      <c r="I6" s="55"/>
      <c r="J6" s="53"/>
      <c r="K6" s="53"/>
      <c r="L6" s="54"/>
      <c r="M6" s="54"/>
      <c r="N6" s="54"/>
      <c r="O6" s="54"/>
      <c r="P6" s="54"/>
      <c r="Q6" s="54"/>
      <c r="R6" s="56"/>
      <c r="S6" s="56"/>
      <c r="T6" s="56"/>
    </row>
    <row r="7" spans="1:20" ht="25.5" x14ac:dyDescent="0.2">
      <c r="A7" s="54"/>
      <c r="B7" s="55"/>
      <c r="C7" s="57" t="s">
        <v>17</v>
      </c>
      <c r="D7" s="55">
        <f>IF('data - oversiktark'!$C$12="ja",12,14.3)</f>
        <v>12</v>
      </c>
      <c r="E7" s="55"/>
      <c r="F7" s="55"/>
      <c r="G7" s="55"/>
      <c r="H7" s="78" t="str">
        <f>IF(D6="JA","Avvikling av ferie","  ")</f>
        <v>Avvikling av ferie</v>
      </c>
      <c r="I7" s="55"/>
      <c r="J7" s="55"/>
      <c r="K7" s="54"/>
      <c r="L7" s="54"/>
      <c r="M7" s="54"/>
      <c r="N7" s="54"/>
      <c r="O7" s="54"/>
      <c r="P7" s="54"/>
      <c r="Q7" s="54"/>
      <c r="R7" s="56"/>
      <c r="S7" s="56"/>
      <c r="T7" s="56"/>
    </row>
    <row r="8" spans="1:20" ht="13.5" thickBot="1" x14ac:dyDescent="0.25">
      <c r="A8" s="54"/>
      <c r="B8" s="55"/>
      <c r="C8" s="57" t="s">
        <v>84</v>
      </c>
      <c r="D8" s="55">
        <f>IF('data - oversiktark'!$C$12="ja",4,10)</f>
        <v>4</v>
      </c>
      <c r="E8" s="55"/>
      <c r="F8" s="55"/>
      <c r="G8" s="55"/>
      <c r="H8" s="78"/>
      <c r="I8" s="55"/>
      <c r="J8" s="55"/>
      <c r="K8" s="54"/>
      <c r="L8" s="54"/>
      <c r="M8" s="54"/>
      <c r="N8" s="54"/>
      <c r="O8" s="54"/>
      <c r="P8" s="54"/>
      <c r="Q8" s="54"/>
      <c r="R8" s="56"/>
      <c r="S8" s="56"/>
      <c r="T8" s="56"/>
    </row>
    <row r="9" spans="1:20" ht="15.75" x14ac:dyDescent="0.25">
      <c r="A9" s="59" t="s">
        <v>13</v>
      </c>
      <c r="B9" s="60" t="s">
        <v>71</v>
      </c>
      <c r="C9" s="61"/>
      <c r="D9" s="61" t="s">
        <v>2</v>
      </c>
      <c r="E9" s="61" t="s">
        <v>3</v>
      </c>
      <c r="F9" s="61" t="s">
        <v>4</v>
      </c>
      <c r="G9" s="61" t="s">
        <v>5</v>
      </c>
      <c r="H9" s="61" t="s">
        <v>6</v>
      </c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2" t="s">
        <v>23</v>
      </c>
      <c r="P9" s="54"/>
      <c r="Q9" s="54"/>
      <c r="R9" s="54"/>
      <c r="S9" s="56"/>
      <c r="T9" s="56"/>
    </row>
    <row r="10" spans="1:20" ht="25.5" x14ac:dyDescent="0.2">
      <c r="A10" s="63"/>
      <c r="B10" s="64" t="s">
        <v>45</v>
      </c>
      <c r="C10" s="64" t="s">
        <v>44</v>
      </c>
      <c r="D10" s="53"/>
      <c r="E10" s="53"/>
      <c r="F10" s="53"/>
      <c r="G10" s="53"/>
      <c r="H10" s="53"/>
      <c r="I10" s="53"/>
      <c r="J10" s="53"/>
      <c r="K10" s="65"/>
      <c r="L10" s="65"/>
      <c r="M10" s="65"/>
      <c r="N10" s="65"/>
      <c r="O10" s="66"/>
      <c r="P10" s="54"/>
      <c r="Q10" s="54"/>
      <c r="R10" s="56"/>
      <c r="S10" s="56"/>
      <c r="T10" s="56"/>
    </row>
    <row r="11" spans="1:20" x14ac:dyDescent="0.2">
      <c r="A11" s="67"/>
      <c r="B11" s="68"/>
      <c r="C11" s="53"/>
      <c r="D11" s="53"/>
      <c r="E11" s="53"/>
      <c r="F11" s="53"/>
      <c r="G11" s="53"/>
      <c r="H11" s="53"/>
      <c r="I11" s="53"/>
      <c r="J11" s="53"/>
      <c r="K11" s="65"/>
      <c r="L11" s="65"/>
      <c r="M11" s="65"/>
      <c r="N11" s="65"/>
      <c r="O11" s="66"/>
      <c r="P11" s="54"/>
      <c r="Q11" s="54"/>
      <c r="R11" s="56"/>
      <c r="S11" s="56"/>
      <c r="T11" s="56"/>
    </row>
    <row r="12" spans="1:20" x14ac:dyDescent="0.2">
      <c r="A12" s="67" t="s">
        <v>46</v>
      </c>
      <c r="B12" s="79">
        <f>B17*'data - oversiktark'!$C$10</f>
        <v>524.52</v>
      </c>
      <c r="C12" s="79">
        <f>C17*'data - oversiktark'!$C$10</f>
        <v>458.95499999999998</v>
      </c>
      <c r="D12" s="79">
        <f>D17*'data - oversiktark'!$C$10</f>
        <v>983.47499999999991</v>
      </c>
      <c r="E12" s="79">
        <f>E17*'data - oversiktark'!$C$10</f>
        <v>983.47499999999991</v>
      </c>
      <c r="F12" s="79">
        <f>F17*'data - oversiktark'!$C$10</f>
        <v>983.47499999999991</v>
      </c>
      <c r="G12" s="79">
        <f>G17*'data - oversiktark'!$C$10</f>
        <v>983.47499999999991</v>
      </c>
      <c r="H12" s="79">
        <f>H17*'data - oversiktark'!$C$10</f>
        <v>-151.30384615384614</v>
      </c>
      <c r="I12" s="79">
        <f>I17*'data - oversiktark'!$C$10</f>
        <v>983.47499999999991</v>
      </c>
      <c r="J12" s="79">
        <f>J17*'data - oversiktark'!$C$10</f>
        <v>983.47499999999991</v>
      </c>
      <c r="K12" s="79">
        <f>K17*'data - oversiktark'!$C$10</f>
        <v>983.47499999999991</v>
      </c>
      <c r="L12" s="79">
        <f>L17*'data - oversiktark'!$C$10</f>
        <v>983.47499999999991</v>
      </c>
      <c r="M12" s="79">
        <f>M17*'data - oversiktark'!$C$10</f>
        <v>983.47499999999991</v>
      </c>
      <c r="N12" s="79">
        <f>N17*'data - oversiktark'!$C$10</f>
        <v>983.47499999999991</v>
      </c>
      <c r="O12" s="80">
        <f t="shared" ref="O12:O21" si="0">SUM(B12:N12)</f>
        <v>10666.921153846155</v>
      </c>
      <c r="P12" s="55"/>
      <c r="Q12" s="54"/>
      <c r="R12" s="56"/>
      <c r="S12" s="56"/>
      <c r="T12" s="56"/>
    </row>
    <row r="13" spans="1:20" x14ac:dyDescent="0.2">
      <c r="A13" s="67" t="s">
        <v>47</v>
      </c>
      <c r="B13" s="79">
        <f>B18*'data - oversiktark'!$C$10</f>
        <v>0</v>
      </c>
      <c r="C13" s="79">
        <f>C18*'data - oversiktark'!$C$10</f>
        <v>0</v>
      </c>
      <c r="D13" s="79">
        <f>D18*'data - oversiktark'!$C$10</f>
        <v>0</v>
      </c>
      <c r="E13" s="79">
        <f>E18*'data - oversiktark'!$C$10</f>
        <v>0</v>
      </c>
      <c r="F13" s="79">
        <f>F18*'data - oversiktark'!$C$10</f>
        <v>0</v>
      </c>
      <c r="G13" s="79">
        <f>G18*'data - oversiktark'!$C$10</f>
        <v>0</v>
      </c>
      <c r="H13" s="79">
        <f>H18*'data - oversiktark'!$C$10</f>
        <v>0</v>
      </c>
      <c r="I13" s="79">
        <f>I18*'data - oversiktark'!$C$10</f>
        <v>0</v>
      </c>
      <c r="J13" s="79">
        <f>J18*'data - oversiktark'!$C$10</f>
        <v>0</v>
      </c>
      <c r="K13" s="79">
        <f>K18*'data - oversiktark'!$C$10</f>
        <v>0</v>
      </c>
      <c r="L13" s="79">
        <f>L18*'data - oversiktark'!$C$10</f>
        <v>0</v>
      </c>
      <c r="M13" s="79">
        <f>M18*'data - oversiktark'!$C$10</f>
        <v>0</v>
      </c>
      <c r="N13" s="79">
        <f>N18*'data - oversiktark'!$C$10</f>
        <v>0</v>
      </c>
      <c r="O13" s="80">
        <f t="shared" si="0"/>
        <v>0</v>
      </c>
      <c r="P13" s="54"/>
      <c r="Q13" s="54"/>
      <c r="R13" s="56"/>
      <c r="S13" s="56"/>
      <c r="T13" s="56"/>
    </row>
    <row r="14" spans="1:20" x14ac:dyDescent="0.2">
      <c r="A14" s="67" t="s">
        <v>48</v>
      </c>
      <c r="B14" s="79">
        <f>D14*'data - oversiktark'!$C$9/30</f>
        <v>349.68</v>
      </c>
      <c r="C14" s="79">
        <f t="shared" ref="C14:C21" si="1">D14-B14</f>
        <v>305.96999999999997</v>
      </c>
      <c r="D14" s="79">
        <f>D19*'data - oversiktark'!$C$10</f>
        <v>655.65</v>
      </c>
      <c r="E14" s="79">
        <f>E19*'data - oversiktark'!$C$10</f>
        <v>655.65</v>
      </c>
      <c r="F14" s="79">
        <f>F19*'data - oversiktark'!$C$10</f>
        <v>655.65</v>
      </c>
      <c r="G14" s="79">
        <f>G19*'data - oversiktark'!$C$10</f>
        <v>655.65</v>
      </c>
      <c r="H14" s="79">
        <f>H19*'data - oversiktark'!$C$10</f>
        <v>-100.86923076923075</v>
      </c>
      <c r="I14" s="79">
        <f>I19*'data - oversiktark'!$C$10</f>
        <v>655.65</v>
      </c>
      <c r="J14" s="79">
        <f>J19*'data - oversiktark'!$C$10</f>
        <v>655.65</v>
      </c>
      <c r="K14" s="79">
        <f>K19*'data - oversiktark'!$C$10</f>
        <v>655.65</v>
      </c>
      <c r="L14" s="79">
        <f>L19*'data - oversiktark'!$C$10</f>
        <v>655.65</v>
      </c>
      <c r="M14" s="79">
        <f>M19*'data - oversiktark'!$C$10</f>
        <v>655.65</v>
      </c>
      <c r="N14" s="79">
        <f>N19*'data - oversiktark'!$C$10</f>
        <v>655.65</v>
      </c>
      <c r="O14" s="80">
        <f t="shared" si="0"/>
        <v>7111.2807692307679</v>
      </c>
      <c r="P14" s="55"/>
      <c r="Q14" s="54"/>
      <c r="R14" s="56"/>
      <c r="S14" s="56"/>
      <c r="T14" s="56"/>
    </row>
    <row r="15" spans="1:20" x14ac:dyDescent="0.2">
      <c r="A15" s="67" t="s">
        <v>49</v>
      </c>
      <c r="B15" s="79">
        <f>D15*'data - oversiktark'!$C$9/30</f>
        <v>0</v>
      </c>
      <c r="C15" s="79">
        <f t="shared" si="1"/>
        <v>0</v>
      </c>
      <c r="D15" s="79">
        <f>D20*'data - oversiktark'!$C$10</f>
        <v>0</v>
      </c>
      <c r="E15" s="79">
        <f>E20*'data - oversiktark'!$C$10</f>
        <v>0</v>
      </c>
      <c r="F15" s="79">
        <f>F20*'data - oversiktark'!$C$10</f>
        <v>0</v>
      </c>
      <c r="G15" s="79">
        <f>G20*'data - oversiktark'!$C$10</f>
        <v>0</v>
      </c>
      <c r="H15" s="79">
        <f>H20*'data - oversiktark'!$C$10</f>
        <v>0</v>
      </c>
      <c r="I15" s="79">
        <f>I20*'data - oversiktark'!$C$10</f>
        <v>0</v>
      </c>
      <c r="J15" s="79">
        <f>J20*'data - oversiktark'!$C$10</f>
        <v>0</v>
      </c>
      <c r="K15" s="79">
        <f>K20*'data - oversiktark'!$C$10</f>
        <v>0</v>
      </c>
      <c r="L15" s="79">
        <f>L20*'data - oversiktark'!$C$10</f>
        <v>0</v>
      </c>
      <c r="M15" s="79">
        <f>M20*'data - oversiktark'!$C$10</f>
        <v>0</v>
      </c>
      <c r="N15" s="79">
        <f>N20*'data - oversiktark'!$C$10</f>
        <v>0</v>
      </c>
      <c r="O15" s="80">
        <f t="shared" si="0"/>
        <v>0</v>
      </c>
      <c r="P15" s="54"/>
      <c r="Q15" s="54"/>
      <c r="R15" s="56"/>
      <c r="S15" s="56"/>
      <c r="T15" s="56"/>
    </row>
    <row r="16" spans="1:20" x14ac:dyDescent="0.2">
      <c r="A16" s="67" t="s">
        <v>72</v>
      </c>
      <c r="B16" s="79">
        <f>D16*'data - oversiktark'!$C$9/30</f>
        <v>2913.9999999999995</v>
      </c>
      <c r="C16" s="79">
        <f t="shared" si="1"/>
        <v>2549.7499999999995</v>
      </c>
      <c r="D16" s="79">
        <f>D21*'data - oversiktark'!$C$10</f>
        <v>5463.7499999999991</v>
      </c>
      <c r="E16" s="79">
        <f>E21*'data - oversiktark'!$C$10</f>
        <v>5463.7499999999991</v>
      </c>
      <c r="F16" s="79">
        <f>F21*'data - oversiktark'!$C$10</f>
        <v>5463.7499999999991</v>
      </c>
      <c r="G16" s="79">
        <f>G21*'data - oversiktark'!$C$10</f>
        <v>5463.7499999999991</v>
      </c>
      <c r="H16" s="79">
        <f>H21*'data - oversiktark'!$C$10</f>
        <v>-840.57692307692309</v>
      </c>
      <c r="I16" s="79">
        <f>I21*'data - oversiktark'!$C$10</f>
        <v>5463.7499999999991</v>
      </c>
      <c r="J16" s="79">
        <f>J21*'data - oversiktark'!$C$10</f>
        <v>5463.7499999999991</v>
      </c>
      <c r="K16" s="79">
        <f>K21*'data - oversiktark'!$C$10</f>
        <v>5463.7499999999991</v>
      </c>
      <c r="L16" s="79">
        <f>L21*'data - oversiktark'!$C$10</f>
        <v>5463.7499999999991</v>
      </c>
      <c r="M16" s="79">
        <f>M21*'data - oversiktark'!$C$10</f>
        <v>5463.7499999999991</v>
      </c>
      <c r="N16" s="79">
        <f>N21*'data - oversiktark'!$C$10</f>
        <v>5463.7499999999991</v>
      </c>
      <c r="O16" s="80">
        <f t="shared" si="0"/>
        <v>59260.673076923071</v>
      </c>
      <c r="P16" s="55"/>
      <c r="Q16" s="54"/>
      <c r="R16" s="56"/>
      <c r="S16" s="56"/>
      <c r="T16" s="56"/>
    </row>
    <row r="17" spans="1:21" x14ac:dyDescent="0.2">
      <c r="A17" s="67" t="s">
        <v>50</v>
      </c>
      <c r="B17" s="79">
        <f>D17*'data - oversiktark'!$C$9/30</f>
        <v>3720</v>
      </c>
      <c r="C17" s="79">
        <f t="shared" si="1"/>
        <v>3255</v>
      </c>
      <c r="D17" s="79">
        <f>(D21+D20)*$D$5%</f>
        <v>6975</v>
      </c>
      <c r="E17" s="79">
        <f t="shared" ref="E17:N17" si="2">(E21+E20)*$D$5%</f>
        <v>6975</v>
      </c>
      <c r="F17" s="79">
        <f t="shared" si="2"/>
        <v>6975</v>
      </c>
      <c r="G17" s="79">
        <f t="shared" si="2"/>
        <v>6975</v>
      </c>
      <c r="H17" s="79">
        <f t="shared" si="2"/>
        <v>-1073.0769230769231</v>
      </c>
      <c r="I17" s="79">
        <f t="shared" si="2"/>
        <v>6975</v>
      </c>
      <c r="J17" s="79">
        <f t="shared" si="2"/>
        <v>6975</v>
      </c>
      <c r="K17" s="79">
        <f t="shared" si="2"/>
        <v>6975</v>
      </c>
      <c r="L17" s="79">
        <f t="shared" si="2"/>
        <v>6975</v>
      </c>
      <c r="M17" s="79">
        <f t="shared" si="2"/>
        <v>6975</v>
      </c>
      <c r="N17" s="79">
        <f t="shared" si="2"/>
        <v>6975</v>
      </c>
      <c r="O17" s="80">
        <f t="shared" si="0"/>
        <v>75651.923076923078</v>
      </c>
      <c r="P17" s="55"/>
      <c r="Q17" s="54"/>
      <c r="R17" s="56"/>
      <c r="S17" s="56"/>
      <c r="T17" s="56"/>
    </row>
    <row r="18" spans="1:21" x14ac:dyDescent="0.2">
      <c r="A18" s="67" t="s">
        <v>53</v>
      </c>
      <c r="B18" s="79">
        <f>B20*$D7%</f>
        <v>0</v>
      </c>
      <c r="C18" s="79">
        <f t="shared" ref="C18:N18" si="3">C20*$D7%</f>
        <v>0</v>
      </c>
      <c r="D18" s="79">
        <f t="shared" si="3"/>
        <v>0</v>
      </c>
      <c r="E18" s="79">
        <f t="shared" si="3"/>
        <v>0</v>
      </c>
      <c r="F18" s="79">
        <f t="shared" si="3"/>
        <v>0</v>
      </c>
      <c r="G18" s="79">
        <f t="shared" si="3"/>
        <v>0</v>
      </c>
      <c r="H18" s="79">
        <f t="shared" si="3"/>
        <v>0</v>
      </c>
      <c r="I18" s="79">
        <f t="shared" si="3"/>
        <v>0</v>
      </c>
      <c r="J18" s="79">
        <f t="shared" si="3"/>
        <v>0</v>
      </c>
      <c r="K18" s="79">
        <f t="shared" si="3"/>
        <v>0</v>
      </c>
      <c r="L18" s="79">
        <f t="shared" si="3"/>
        <v>0</v>
      </c>
      <c r="M18" s="79">
        <f t="shared" si="3"/>
        <v>0</v>
      </c>
      <c r="N18" s="79">
        <f t="shared" si="3"/>
        <v>0</v>
      </c>
      <c r="O18" s="80">
        <f t="shared" si="0"/>
        <v>0</v>
      </c>
      <c r="P18" s="54"/>
      <c r="Q18" s="54"/>
      <c r="R18" s="56"/>
      <c r="S18" s="56"/>
      <c r="T18" s="56"/>
    </row>
    <row r="19" spans="1:21" x14ac:dyDescent="0.2">
      <c r="A19" s="67" t="s">
        <v>54</v>
      </c>
      <c r="B19" s="79">
        <f>B21*$D7%</f>
        <v>2480</v>
      </c>
      <c r="C19" s="79">
        <f t="shared" si="1"/>
        <v>2170</v>
      </c>
      <c r="D19" s="79">
        <f>D21*$D7%</f>
        <v>4650</v>
      </c>
      <c r="E19" s="79">
        <f>E21*$D7%</f>
        <v>4650</v>
      </c>
      <c r="F19" s="79">
        <f t="shared" ref="F19:N19" si="4">F21*$D7%</f>
        <v>4650</v>
      </c>
      <c r="G19" s="79">
        <f t="shared" si="4"/>
        <v>4650</v>
      </c>
      <c r="H19" s="79">
        <f t="shared" si="4"/>
        <v>-715.38461538461536</v>
      </c>
      <c r="I19" s="79">
        <f t="shared" si="4"/>
        <v>4650</v>
      </c>
      <c r="J19" s="79">
        <f t="shared" si="4"/>
        <v>4650</v>
      </c>
      <c r="K19" s="79">
        <f t="shared" si="4"/>
        <v>4650</v>
      </c>
      <c r="L19" s="79">
        <f t="shared" si="4"/>
        <v>4650</v>
      </c>
      <c r="M19" s="79">
        <f t="shared" si="4"/>
        <v>4650</v>
      </c>
      <c r="N19" s="79">
        <f t="shared" si="4"/>
        <v>4650</v>
      </c>
      <c r="O19" s="80">
        <f t="shared" si="0"/>
        <v>50434.615384615383</v>
      </c>
      <c r="P19" s="55"/>
      <c r="Q19" s="54"/>
      <c r="R19" s="56"/>
      <c r="S19" s="56"/>
      <c r="T19" s="56"/>
    </row>
    <row r="20" spans="1:21" x14ac:dyDescent="0.2">
      <c r="A20" s="67" t="s">
        <v>51</v>
      </c>
      <c r="B20" s="79">
        <f>IF($D$3*$D$2/100&gt;$K$3,($D$3/12*$D$2/100-$K$3/12)*'data - oversiktark'!$C$9/30,0)</f>
        <v>0</v>
      </c>
      <c r="C20" s="79">
        <f t="shared" si="1"/>
        <v>0</v>
      </c>
      <c r="D20" s="79">
        <f>IF($D$3*$D2/100&gt;$K$3,($D$3/12*$D$2/100-$K$3/12),0)</f>
        <v>0</v>
      </c>
      <c r="E20" s="79">
        <f>IF($D$3*$D2/100&gt;$K$3,($D$3/12*$D$2/100-$K$3/12),0)</f>
        <v>0</v>
      </c>
      <c r="F20" s="79">
        <f>IF($D$3*$D2/100&gt;$K$3,($D$3/12*$D$2/100-$K$3/12),0)</f>
        <v>0</v>
      </c>
      <c r="G20" s="79">
        <f t="shared" ref="G20:N20" si="5">IF($D$3*$D2/100&gt;$K$3,($D$3/12*$D$2/100-$K$3/12),0)</f>
        <v>0</v>
      </c>
      <c r="H20" s="79">
        <f>IF($D$3*$D2%&gt;$K$3,($D$3/12*$D$2%-$K$3/12),0)*IF(D6="ja",(-D8)/26,1)</f>
        <v>0</v>
      </c>
      <c r="I20" s="79">
        <f>IF($D$3*$D2%&gt;$K$3,($D$3/12*$D$2%-$K$3/12),0)</f>
        <v>0</v>
      </c>
      <c r="J20" s="79">
        <f t="shared" si="5"/>
        <v>0</v>
      </c>
      <c r="K20" s="79">
        <f t="shared" si="5"/>
        <v>0</v>
      </c>
      <c r="L20" s="79">
        <f t="shared" si="5"/>
        <v>0</v>
      </c>
      <c r="M20" s="79">
        <f t="shared" si="5"/>
        <v>0</v>
      </c>
      <c r="N20" s="79">
        <f t="shared" si="5"/>
        <v>0</v>
      </c>
      <c r="O20" s="80">
        <f t="shared" si="0"/>
        <v>0</v>
      </c>
      <c r="P20" s="54"/>
      <c r="Q20" s="54"/>
      <c r="R20" s="56"/>
      <c r="S20" s="56"/>
      <c r="T20" s="56"/>
    </row>
    <row r="21" spans="1:21" ht="13.5" thickBot="1" x14ac:dyDescent="0.25">
      <c r="A21" s="67" t="s">
        <v>55</v>
      </c>
      <c r="B21" s="79">
        <f>IF($D$3*D2%&lt;=$K$3,$D$3/12*D2%,$K$3/12)*'data - oversiktark'!$C$9/30</f>
        <v>20666.666666666668</v>
      </c>
      <c r="C21" s="79">
        <f t="shared" si="1"/>
        <v>18083.333333333332</v>
      </c>
      <c r="D21" s="79">
        <f>IF($D$3*$D$2%&lt;=$K$3,IF($D$3*$D$2%&lt;$K$3,($D$3/12)*$D$2%,$K$3/12),$K$3/12)</f>
        <v>38750</v>
      </c>
      <c r="E21" s="79">
        <f>IF($D$3*$D$2%&lt;=$K$3,IF($D$3*$D$2%&lt;$K$3,($D$3/12)*$D$2%,$K$3/12),$K$3/12)</f>
        <v>38750</v>
      </c>
      <c r="F21" s="79">
        <f>IF($D$3*$D$2%&lt;=$K$3,IF($D$3*$D$2%&lt;$K$3,($D$3/12)*$D$2%,$K$3/12),$K$3/12)</f>
        <v>38750</v>
      </c>
      <c r="G21" s="79">
        <f>IF($D$3*$D$2%&lt;=$K$3,IF($D$3*$D$2%&lt;$K$3,($D$3/12)*$D$2%,$K$3/12),$K$3/12)</f>
        <v>38750</v>
      </c>
      <c r="H21" s="79">
        <f>IF($D$3*$D2%&lt;=$K$3,$D$3/12*$D$2%,$K$3/12)*IF($D$6="ja",(-D8)/26,1)</f>
        <v>-5961.5384615384619</v>
      </c>
      <c r="I21" s="79">
        <f t="shared" ref="I21:N21" si="6">IF($D$3*$D$2%&lt;=$K$3,IF($D$3*$D$2%&lt;$K$3,($D$3/12)*$D$2%,$K$3/12),$K$3/12)</f>
        <v>38750</v>
      </c>
      <c r="J21" s="79">
        <f t="shared" si="6"/>
        <v>38750</v>
      </c>
      <c r="K21" s="79">
        <f t="shared" si="6"/>
        <v>38750</v>
      </c>
      <c r="L21" s="79">
        <f t="shared" si="6"/>
        <v>38750</v>
      </c>
      <c r="M21" s="79">
        <f t="shared" si="6"/>
        <v>38750</v>
      </c>
      <c r="N21" s="79">
        <f t="shared" si="6"/>
        <v>38750</v>
      </c>
      <c r="O21" s="80">
        <f t="shared" si="0"/>
        <v>420288.4615384615</v>
      </c>
      <c r="P21" s="55"/>
      <c r="Q21" s="54"/>
      <c r="R21" s="56"/>
      <c r="S21" s="56"/>
      <c r="T21" s="56"/>
    </row>
    <row r="22" spans="1:21" ht="13.5" thickBot="1" x14ac:dyDescent="0.25">
      <c r="A22" s="69" t="s">
        <v>52</v>
      </c>
      <c r="B22" s="70">
        <f>SUM(B12:B21)</f>
        <v>30654.866666666669</v>
      </c>
      <c r="C22" s="70">
        <f t="shared" ref="C22:N22" si="7">SUM(C12:C21)</f>
        <v>26823.008333333331</v>
      </c>
      <c r="D22" s="70">
        <f t="shared" si="7"/>
        <v>57477.875</v>
      </c>
      <c r="E22" s="70">
        <f t="shared" si="7"/>
        <v>57477.875</v>
      </c>
      <c r="F22" s="70">
        <f t="shared" si="7"/>
        <v>57477.875</v>
      </c>
      <c r="G22" s="70">
        <f t="shared" si="7"/>
        <v>57477.875</v>
      </c>
      <c r="H22" s="70">
        <f t="shared" si="7"/>
        <v>-8842.75</v>
      </c>
      <c r="I22" s="70">
        <f t="shared" si="7"/>
        <v>57477.875</v>
      </c>
      <c r="J22" s="70">
        <f t="shared" si="7"/>
        <v>57477.875</v>
      </c>
      <c r="K22" s="70">
        <f t="shared" si="7"/>
        <v>57477.875</v>
      </c>
      <c r="L22" s="70">
        <f t="shared" si="7"/>
        <v>57477.875</v>
      </c>
      <c r="M22" s="70">
        <f t="shared" si="7"/>
        <v>57477.875</v>
      </c>
      <c r="N22" s="70">
        <f t="shared" si="7"/>
        <v>57477.875</v>
      </c>
      <c r="O22" s="71">
        <f>SUM(B22:N22)</f>
        <v>623413.875</v>
      </c>
      <c r="P22" s="54"/>
      <c r="Q22" s="54"/>
      <c r="R22" s="54"/>
      <c r="S22" s="54"/>
      <c r="T22" s="54"/>
      <c r="U22" s="50"/>
    </row>
    <row r="23" spans="1:21" ht="13.5" thickBot="1" x14ac:dyDescent="0.25">
      <c r="A23" s="72" t="s">
        <v>56</v>
      </c>
      <c r="B23" s="81">
        <f>SUM(B22)</f>
        <v>30654.866666666669</v>
      </c>
      <c r="C23" s="81">
        <f>C12+C13+C15+C17+C18+C20</f>
        <v>3713.9549999999999</v>
      </c>
      <c r="D23" s="81">
        <f>D12+D13+D15+D17+D18+D20</f>
        <v>7958.4750000000004</v>
      </c>
      <c r="E23" s="81">
        <f>E12+E13+E15+E17+E18+(E19+E14)*((21.7411-4.514786)/21.7411)+E20</f>
        <v>12162.34660144151</v>
      </c>
      <c r="F23" s="81">
        <f>F12+F13+F14+F15+F17+F18+F19+F20</f>
        <v>13264.125</v>
      </c>
      <c r="G23" s="81">
        <f>G12+G13+G14+G15+G17+G18+G19+G20</f>
        <v>13264.125</v>
      </c>
      <c r="H23" s="81">
        <f t="shared" ref="H23:N23" si="8">H12+H13+H14+H15+H17+H18+H19+H20</f>
        <v>-2040.6346153846152</v>
      </c>
      <c r="I23" s="81">
        <f t="shared" si="8"/>
        <v>13264.125</v>
      </c>
      <c r="J23" s="81">
        <f t="shared" si="8"/>
        <v>13264.125</v>
      </c>
      <c r="K23" s="81">
        <f t="shared" si="8"/>
        <v>13264.125</v>
      </c>
      <c r="L23" s="81">
        <f t="shared" si="8"/>
        <v>13264.125</v>
      </c>
      <c r="M23" s="81">
        <f t="shared" si="8"/>
        <v>13264.125</v>
      </c>
      <c r="N23" s="81">
        <f t="shared" si="8"/>
        <v>13264.125</v>
      </c>
      <c r="O23" s="82">
        <f>SUM(C23:N23)</f>
        <v>127907.1419860569</v>
      </c>
      <c r="P23" s="55"/>
      <c r="Q23" s="54"/>
      <c r="R23" s="56"/>
      <c r="S23" s="56"/>
      <c r="T23" s="56"/>
    </row>
    <row r="24" spans="1:21" ht="16.5" thickBot="1" x14ac:dyDescent="0.3">
      <c r="A24" s="73" t="s">
        <v>57</v>
      </c>
      <c r="B24" s="83">
        <f>SUM(B23:N23)</f>
        <v>158562.00865272357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55"/>
      <c r="P24" s="54"/>
      <c r="Q24" s="54"/>
      <c r="R24" s="56"/>
      <c r="S24" s="56"/>
      <c r="T24" s="56"/>
    </row>
    <row r="25" spans="1:21" ht="13.5" thickBot="1" x14ac:dyDescent="0.25">
      <c r="A25" s="73" t="s">
        <v>19</v>
      </c>
      <c r="B25" s="75">
        <f>B24/O22</f>
        <v>0.25434468979812741</v>
      </c>
      <c r="C25" s="55"/>
      <c r="D25" s="55"/>
      <c r="E25" s="84" t="s">
        <v>75</v>
      </c>
      <c r="F25" s="55"/>
      <c r="G25" s="55"/>
      <c r="H25" s="84" t="s">
        <v>82</v>
      </c>
      <c r="I25" s="55"/>
      <c r="J25" s="55"/>
      <c r="K25" s="55"/>
      <c r="L25" s="55"/>
      <c r="M25" s="55"/>
      <c r="N25" s="55"/>
      <c r="O25" s="55"/>
      <c r="P25" s="54"/>
      <c r="Q25" s="54"/>
      <c r="R25" s="56"/>
      <c r="S25" s="56"/>
      <c r="T25" s="56"/>
    </row>
    <row r="26" spans="1:21" ht="105.75" customHeight="1" x14ac:dyDescent="0.2">
      <c r="A26" s="54"/>
      <c r="B26" s="54"/>
      <c r="C26" s="54"/>
      <c r="D26" s="54"/>
      <c r="E26" s="86" t="s">
        <v>76</v>
      </c>
      <c r="F26" s="86"/>
      <c r="G26" s="86"/>
      <c r="H26" s="86" t="s">
        <v>83</v>
      </c>
      <c r="I26" s="86"/>
      <c r="J26" s="54"/>
      <c r="K26" s="54"/>
      <c r="L26" s="54"/>
      <c r="M26" s="54"/>
      <c r="N26" s="54"/>
      <c r="O26" s="54"/>
      <c r="P26" s="54"/>
      <c r="Q26" s="54"/>
      <c r="R26" s="56"/>
      <c r="S26" s="76"/>
      <c r="T26" s="56"/>
    </row>
    <row r="27" spans="1:2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6"/>
      <c r="S27" s="56"/>
      <c r="T27" s="56"/>
    </row>
    <row r="28" spans="1:21" ht="25.5" customHeight="1" x14ac:dyDescent="0.2">
      <c r="A28" s="54"/>
      <c r="B28" s="54"/>
      <c r="C28" s="54"/>
      <c r="E28" s="86" t="s">
        <v>73</v>
      </c>
      <c r="F28" s="86"/>
      <c r="G28" s="54">
        <f>365.25/12</f>
        <v>30.4375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6"/>
      <c r="S28" s="56"/>
      <c r="T28" s="56"/>
    </row>
    <row r="29" spans="1:21" ht="38.25" customHeight="1" x14ac:dyDescent="0.2">
      <c r="A29" s="54"/>
      <c r="B29" s="54"/>
      <c r="C29" s="54"/>
      <c r="E29" s="86" t="s">
        <v>77</v>
      </c>
      <c r="F29" s="86"/>
      <c r="G29" s="54">
        <f>G28*5/7</f>
        <v>21.741071428571427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6"/>
      <c r="S29" s="56"/>
      <c r="T29" s="56"/>
    </row>
    <row r="30" spans="1:21" ht="51" customHeight="1" x14ac:dyDescent="0.2">
      <c r="A30" s="54"/>
      <c r="B30" s="54"/>
      <c r="C30" s="54"/>
      <c r="E30" s="86" t="s">
        <v>74</v>
      </c>
      <c r="F30" s="86"/>
      <c r="G30" s="54">
        <f>G29*2</f>
        <v>43.482142857142854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6"/>
      <c r="S30" s="56"/>
      <c r="T30" s="56"/>
    </row>
    <row r="31" spans="1:21" ht="38.25" customHeight="1" x14ac:dyDescent="0.2">
      <c r="A31" s="50"/>
      <c r="B31" s="50"/>
      <c r="C31" s="50"/>
      <c r="E31" s="85" t="s">
        <v>78</v>
      </c>
      <c r="F31" s="85"/>
      <c r="G31" s="50">
        <f>48-G30</f>
        <v>4.5178571428571459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21" ht="42" customHeight="1" x14ac:dyDescent="0.2">
      <c r="A32" s="50"/>
      <c r="B32" s="50"/>
      <c r="C32" s="50"/>
      <c r="D32" s="50"/>
      <c r="E32" s="85" t="s">
        <v>79</v>
      </c>
      <c r="F32" s="85"/>
      <c r="G32" s="50">
        <f>(G29-G31)/G29</f>
        <v>0.79219712525667341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1:17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7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1:17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</sheetData>
  <mergeCells count="7">
    <mergeCell ref="E32:F32"/>
    <mergeCell ref="E26:G26"/>
    <mergeCell ref="H26:I26"/>
    <mergeCell ref="E28:F28"/>
    <mergeCell ref="E29:F29"/>
    <mergeCell ref="E30:F30"/>
    <mergeCell ref="E31:F31"/>
  </mergeCells>
  <phoneticPr fontId="2" type="noConversion"/>
  <pageMargins left="0.75" right="0.75" top="1" bottom="1" header="0.5" footer="0.5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 - oversiktark</vt:lpstr>
      <vt:lpstr>spesifiseringer</vt:lpstr>
    </vt:vector>
  </TitlesOfParts>
  <Company>Steinkjer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IT-Seksjon</dc:creator>
  <cp:lastModifiedBy>Rune Soleng</cp:lastModifiedBy>
  <cp:lastPrinted>2014-01-22T08:48:20Z</cp:lastPrinted>
  <dcterms:created xsi:type="dcterms:W3CDTF">2007-04-24T10:08:44Z</dcterms:created>
  <dcterms:modified xsi:type="dcterms:W3CDTF">2014-02-21T13:56:49Z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1893251701</vt:i4>
  </property>
  <property fmtid="{D5CDD505-2E9C-101B-9397-08002B2CF9AE}" pid="3" name="_EmailSubject">
    <vt:lpwstr>sykelønnsrefusjon - Steinkjermodellen 2007.xls</vt:lpwstr>
  </property>
  <property fmtid="{D5CDD505-2E9C-101B-9397-08002B2CF9AE}" pid="4" name="_AuthorEmail">
    <vt:lpwstr>karsten.saugestad@steinkjer.kommune.no</vt:lpwstr>
  </property>
  <property fmtid="{D5CDD505-2E9C-101B-9397-08002B2CF9AE}" pid="5" name="_AuthorEmailDisplayName">
    <vt:lpwstr>Saugestad, Karsten</vt:lpwstr>
  </property>
  <property fmtid="{D5CDD505-2E9C-101B-9397-08002B2CF9AE}" pid="6" name="_ReviewingToolsShownOnce">
    <vt:lpwstr/>
  </property>
</Properties>
</file>